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/>
  <bookViews>
    <workbookView xWindow="65416" yWindow="65416" windowWidth="29040" windowHeight="15840" tabRatio="429" activeTab="0"/>
  </bookViews>
  <sheets>
    <sheet name="ROZPOČET" sheetId="1" r:id="rId1"/>
  </sheets>
  <externalReferences>
    <externalReference r:id="rId4"/>
  </externalReferences>
  <definedNames>
    <definedName name="__xlnm.Print_Area_1">'ROZPOČET'!$A$59:$G$280</definedName>
    <definedName name="Excel_BuiltIn_Print_Area_1_1">'ROZPOČET'!$A$59:$G$280</definedName>
    <definedName name="Excel_BuiltIn_Print_Area_1_1_1">'ROZPOČET'!$A$59:$G$280</definedName>
    <definedName name="Excel_BuiltIn_Print_Area_1_1_1_1">'ROZPOČET'!$A$123:$G$280</definedName>
    <definedName name="Excel_BuiltIn_Print_Area_2">"#REF!"</definedName>
    <definedName name="Excel_BuiltIn_Print_Area_2_1">"#REF!"</definedName>
    <definedName name="_xlnm.Print_Area" localSheetId="0">'ROZPOČET'!$A$1:$G$280</definedName>
  </definedNames>
  <calcPr calcId="191029"/>
  <extLst/>
</workbook>
</file>

<file path=xl/sharedStrings.xml><?xml version="1.0" encoding="utf-8"?>
<sst xmlns="http://schemas.openxmlformats.org/spreadsheetml/2006/main" count="609" uniqueCount="313">
  <si>
    <t>Náklady za rostlinný materiál</t>
  </si>
  <si>
    <t>latinský název</t>
  </si>
  <si>
    <t>český název</t>
  </si>
  <si>
    <t>výsadbová velikost</t>
  </si>
  <si>
    <t>cena za kus</t>
  </si>
  <si>
    <t>levandule lékařská</t>
  </si>
  <si>
    <t xml:space="preserve">název </t>
  </si>
  <si>
    <t>počet</t>
  </si>
  <si>
    <t>ks</t>
  </si>
  <si>
    <t>m2</t>
  </si>
  <si>
    <t>m3</t>
  </si>
  <si>
    <t xml:space="preserve">Příprava záhonů </t>
  </si>
  <si>
    <t xml:space="preserve">Příprava záhonů – celkem </t>
  </si>
  <si>
    <t>kg</t>
  </si>
  <si>
    <t>t</t>
  </si>
  <si>
    <t>Mulčování vysazených rostlin mulčovací kůrou, tloušťky do 100 mm na rovině nebo svahu do 1:5</t>
  </si>
  <si>
    <t>R</t>
  </si>
  <si>
    <t>specifikace</t>
  </si>
  <si>
    <t>184 91-1421</t>
  </si>
  <si>
    <t>185 80-2113</t>
  </si>
  <si>
    <t>Chemické odplevelení půdy před založením kultury, trávníku nebo zpevněných ploch o výměře přes 20 m2 v rovině nebo na svahu 1:5 postřikem na široko</t>
  </si>
  <si>
    <t>184 91-1311</t>
  </si>
  <si>
    <t>l</t>
  </si>
  <si>
    <t>184 80-2111</t>
  </si>
  <si>
    <t xml:space="preserve">Výsadba kontejnerového keře </t>
  </si>
  <si>
    <t>111 11-1411</t>
  </si>
  <si>
    <t>Hloubení jamek pro vysazování rostlin v zemině 1 až 4 s výměnou půdy na 50 % v rovině nebo na svahu do 1:5, objemu přes 0,01 do 0,02 m3</t>
  </si>
  <si>
    <t>184 10-2111</t>
  </si>
  <si>
    <t>Výsadba dřeviny s balem do předem vyhloubené jamky se zalitím v rovině nebo na svahu do 1:5, při průměru balu přes  100 mm do 200 mm</t>
  </si>
  <si>
    <t>Dodávka mulčovací kůry tl. vrstvy 0,1 m, vč. ceny dopravy materiálu</t>
  </si>
  <si>
    <t>Pěstební substrát 0,01 m3 / 1 ks, včetně ceny dopravy materiálu</t>
  </si>
  <si>
    <t>počet kusů</t>
  </si>
  <si>
    <t>cena celkem bez DPH</t>
  </si>
  <si>
    <t>183 11-1214</t>
  </si>
  <si>
    <t>185 80-4514</t>
  </si>
  <si>
    <t>m</t>
  </si>
  <si>
    <t>185 80-4311</t>
  </si>
  <si>
    <t>185 80-4312</t>
  </si>
  <si>
    <t>111 15-1221</t>
  </si>
  <si>
    <t>185 85-1212</t>
  </si>
  <si>
    <t>183 45-1311</t>
  </si>
  <si>
    <t>Dodávka totální herbicid v dávce  0,0008 l/m2 , vč. ceny dopravy materiálu</t>
  </si>
  <si>
    <t>Dodávka mulčovací kůry (vrstva mulče 0,10 m), vč. ceny dopravy materiálu</t>
  </si>
  <si>
    <t>Stavební práce</t>
  </si>
  <si>
    <t>Vytyčení rozmístění rostlin na záhony</t>
  </si>
  <si>
    <t>Plošná úprava pláně a válcování</t>
  </si>
  <si>
    <t>Nižší keře a půdopokryvné rostliny - celkem</t>
  </si>
  <si>
    <t>m.j.</t>
  </si>
  <si>
    <t>Náklady za práce - sadové úpravy</t>
  </si>
  <si>
    <t>185 80-4511</t>
  </si>
  <si>
    <t>185 80-4252</t>
  </si>
  <si>
    <t>185 85-1121</t>
  </si>
  <si>
    <t>Dovoz vody pro zálivku rostlin na vzdálenost do 1000 m</t>
  </si>
  <si>
    <t>Vyšší keře</t>
  </si>
  <si>
    <t>Vyšší keře - celkem</t>
  </si>
  <si>
    <t>Uložení biologického materiálu na skládku a skládkovné</t>
  </si>
  <si>
    <t>Přesun hmot pro sadovnické a krajinářské účely - strojně dopravní vzdálenost do 5000 m</t>
  </si>
  <si>
    <t>998 23-1311</t>
  </si>
  <si>
    <t>Doprava rostlinného materiálu</t>
  </si>
  <si>
    <t>kpl</t>
  </si>
  <si>
    <t>Stavební práce - celkem</t>
  </si>
  <si>
    <t>Regenerace trávníků</t>
  </si>
  <si>
    <t>183 45-1411</t>
  </si>
  <si>
    <t>Prořezání trávníku hloubky do 5 mm bez přísevu travního osiva při souvislé ploše do 1000 m2 v rovině nebo na svahu do 1:5</t>
  </si>
  <si>
    <t>183 45-1511</t>
  </si>
  <si>
    <t>Výsadba kontejnerového keře – celkem</t>
  </si>
  <si>
    <t>Osazení obruby z ocelové pásoviny tl. 5 mm</t>
  </si>
  <si>
    <t>Obruba z ocelové pásoviny tl. 5 mm, včetně kotvících prvků a dopravy</t>
  </si>
  <si>
    <t>Položení mulčovací textílie proti prorůstnání plevelů kolem vysázených rostlin v rovině nebo na svahu 1:5 vč. Ukotvení</t>
  </si>
  <si>
    <t>Výkop lože pro komunikaci do hloubky 240 mm</t>
  </si>
  <si>
    <t>Naložení výkopku ( plocha  * vrstva 0,24  * koef. Načechrání 1,3  )</t>
  </si>
  <si>
    <t>Odvoz a uložení na skládku (objem * obj. hmotnost 1,8 )</t>
  </si>
  <si>
    <t>1. podkladní vrstva - doprava materiálu</t>
  </si>
  <si>
    <t>kompl.</t>
  </si>
  <si>
    <t>Štěrk frakce 16/32 - materiál  ( plocha * vrstva 0,1 * obj.hm. 2)</t>
  </si>
  <si>
    <t>2. podkladní vrstva - doprava materiálu</t>
  </si>
  <si>
    <t>Svrchní vrstva - doprava materiálu</t>
  </si>
  <si>
    <t>Svrchní vrstva - rozhrnutí materiálu</t>
  </si>
  <si>
    <t>Svrchní vrstva - vápenec fr. 0-4 mm, tl. 40 mm   (vrstva 0,04 m * plocha * obj hm 2 )</t>
  </si>
  <si>
    <t>Založení mlatové plochy</t>
  </si>
  <si>
    <t>Založení mlatové plochy - celkem -</t>
  </si>
  <si>
    <t>Naložení, odvoz a složení na skládku vč. Skládkovného</t>
  </si>
  <si>
    <t xml:space="preserve">Položení geotextile proti prorůstnání plevelů </t>
  </si>
  <si>
    <r>
      <t xml:space="preserve">Dodávka geotextilie proti prorůstnání plevelů </t>
    </r>
    <r>
      <rPr>
        <sz val="10"/>
        <rFont val="Arial"/>
        <family val="2"/>
      </rPr>
      <t xml:space="preserve">+ 5 % </t>
    </r>
    <r>
      <rPr>
        <sz val="10"/>
        <color indexed="8"/>
        <rFont val="Arial"/>
        <family val="2"/>
      </rPr>
      <t>překrytí, vč. ceny dopravy materiálu</t>
    </r>
  </si>
  <si>
    <t>Stavba:</t>
  </si>
  <si>
    <t>Místo:</t>
  </si>
  <si>
    <t>Objednatel:</t>
  </si>
  <si>
    <t>Datum:</t>
  </si>
  <si>
    <t>Zhotovitel:</t>
  </si>
  <si>
    <t>Projektant:</t>
  </si>
  <si>
    <t>Living in green s.r.o.</t>
  </si>
  <si>
    <t>Palackého 70</t>
  </si>
  <si>
    <t>252 29 Dobřichovice</t>
  </si>
  <si>
    <t>IČO: 24828301</t>
  </si>
  <si>
    <t>DIČ: CZ24828301</t>
  </si>
  <si>
    <t>Vypracoval:</t>
  </si>
  <si>
    <t>Ing. Pavlína Elfová</t>
  </si>
  <si>
    <t>Cena s DPH 21 %</t>
  </si>
  <si>
    <t>REKAPITULACE ROZPOČTU</t>
  </si>
  <si>
    <t>Cena celkem bez DPH</t>
  </si>
  <si>
    <t>Sazba DPH - 21 %</t>
  </si>
  <si>
    <t xml:space="preserve">Cena s DPH </t>
  </si>
  <si>
    <t>Náklady za práce - sadové úpravy - celkem</t>
  </si>
  <si>
    <t>Stavební úpravy</t>
  </si>
  <si>
    <t>Betonová patka pro ukotvení lavičky, včetně materiálu, dopravy a práce</t>
  </si>
  <si>
    <t>Betonová patka pro ukotvení koše, včetně materiálu, dopravy a práce</t>
  </si>
  <si>
    <t>Betonová patka pro ukotvení lehátka, včetně materiálu, dopravy a práce</t>
  </si>
  <si>
    <t>R+ specifikace</t>
  </si>
  <si>
    <t xml:space="preserve">Mobiliář </t>
  </si>
  <si>
    <t>Mobiliář  - celkem</t>
  </si>
  <si>
    <t>Mobiliář</t>
  </si>
  <si>
    <t>VRN (zařízení staveniště, vytyčení nženýrských sítí)</t>
  </si>
  <si>
    <t>Náklady za rostlinný materiál -  celkem</t>
  </si>
  <si>
    <t>Dodávka netkané mulčovací textílie proti prorůstnání plevelů + 5 % překrytí, vč. ceny dopravy materiálu a kotvících kolíků</t>
  </si>
  <si>
    <t>Odstranění stařiny ze souvislé plochy do 100 m2 v rovině nebo ve svahu do 1:5 s naložením a odvozem do 20 km</t>
  </si>
  <si>
    <t>183 21-1321</t>
  </si>
  <si>
    <t xml:space="preserve"> Výsadba květin do připravené půdy se zalitím do připravené půdy, se zalitím květin hrnkovaných o průměru květináče do 80 mm</t>
  </si>
  <si>
    <t xml:space="preserve"> Provzdušnění travnatých ploch hloubky do 100 mm, průměru provzdušňovacích otvorů do 25 mm bez přísevu travního osiva, souvislé plochy do 1000 m2 v rovině nebo na svahu do 1:5</t>
  </si>
  <si>
    <t>Zapískování travnatých ploch vrstvou písku tl. do 20 mm souvislé plochy do 1000 m2 v rovině nebo na svahu do 1:5 vč. rozprostření, zapravení a uválení písku hladkým válcem</t>
  </si>
  <si>
    <t>Mulčování vysazených rostlin mulčovací kůrou, tloušťky do 100 mm v rovině nebo svahu do 1:5 včetně likvidace odpadu, naložení, odvezení a se složením do 20 km (1x / rok)</t>
  </si>
  <si>
    <t>Odplevelení výsadeb v rovině nebo na svahu do 1:5 souvislých keřových skupin včetně likvidace odpadu, naložení, odvezení a se složením do 20 km (2x / rok)</t>
  </si>
  <si>
    <t>Odplevelení výsadeb květin v rovině nebo na svahu do 1:5 včetně likvidace odpadu, naložení, odvezení a se složením do 20 km (5x / rok)</t>
  </si>
  <si>
    <t>Mulčování vysazených rostlin mulčovací kůrou, tloušťky do 100 mm na rovině nebo svahu do 1:5 včetně likvidace odpadu, naložení, odvezení a se složením do 20 km (1x / rok)</t>
  </si>
  <si>
    <t>Odstranění odkvetlých a odumřelých částí rostlin ze záhonů trvalek, včetně vynesení a naložení odpadu a odvozu do 20 km se složením (1x / rok)</t>
  </si>
  <si>
    <t xml:space="preserve"> Shrabání listí ručně nebo strojně souvislé plochy přes 1000 do 10 000 m2 bez pokryvných rostlin v rovině nebo na svahu do 1:5, ve vrstvě přes 50 do 100 mm včetně vynesení a naložení odpadu a odvozu do 20 km se složením (2x / rok)</t>
  </si>
  <si>
    <t xml:space="preserve"> Nakládání, skládání a překládání neulehlého výkopku nebo sypaniny ručně skládání nebo překládání, z hornin třídy těžitelnosti I, skupiny 1 až 3 (vrstva * plocha )</t>
  </si>
  <si>
    <t>167 11-1121</t>
  </si>
  <si>
    <t>1. podkladní vrstva - rozhrnutí materiálu a hutnění</t>
  </si>
  <si>
    <t>2. podkladní vrstva - rozhrnutí materiálu a hutnění</t>
  </si>
  <si>
    <t>Hutnění vibrační deskou 4x (vždy po 1 cm položení krycí vrstvy)</t>
  </si>
  <si>
    <t>Hnojení tabletovým hnojivem s obsahem ureaformu hořčíku a stopových prvků  vč. Dodávky (1 ks tablet / nižší keř nebo půdopokryvná rostlina), vč. ceny dopravy materiálu a aplikace</t>
  </si>
  <si>
    <t>Absorbční prostředek - práškový koncentrát  v dávce 10 g ke každému nižšímu keři nebo  půdopokryvné rostlině, vč. ceny dopravy materiálu a aplikace</t>
  </si>
  <si>
    <t>Pokosení trávníku parkového přes 1000 do 10 000 m2 v rovině nebo na svahu do 1:5 včetně shrabání a naložení shrabu na dopravní prostředek, odvozem do 20 km a se složením (8x / rok)</t>
  </si>
  <si>
    <t>Štěrk frakce 0/16 - materiál  (vrstva 0,1 m * plocha  * obj hm. 2)</t>
  </si>
  <si>
    <t>Plocha valounů</t>
  </si>
  <si>
    <t>Výkop lože pro komunikaci do hloubky 150 mm</t>
  </si>
  <si>
    <t>Plocha valounů - celkem</t>
  </si>
  <si>
    <t>Vysypání a rozhrnutí kačírku po plochách</t>
  </si>
  <si>
    <t>Neviditelný zahradnický obrubník, výška 100 mm, materiál a doprava</t>
  </si>
  <si>
    <t>Kotvící hřeby k neviditelnému obrubníku, ocelové ( 3 ks na 1 m délky)</t>
  </si>
  <si>
    <t>Osazení obruby   včetně začištění</t>
  </si>
  <si>
    <t>Žulové valouny 10 - 20 cm, mix bílá - šedá, vrstva 0,1 m</t>
  </si>
  <si>
    <t>Doprava kamene na místo realizace</t>
  </si>
  <si>
    <t>Vysypání a rozhrnutí valounů po plochách</t>
  </si>
  <si>
    <t>Zalití rostlin vodou plochy záhonů jednotlivě přes 20 m2 (12x / rok, 20 l / m2)</t>
  </si>
  <si>
    <t>Zalití rostlin vodou plochy záhonů jednotlivě do 20 m2 (12x / rok, 20 l / m2)</t>
  </si>
  <si>
    <t>město Beroun</t>
  </si>
  <si>
    <t>Husovo náměstí 68</t>
  </si>
  <si>
    <t>266 01 Beroun - Centrum</t>
  </si>
  <si>
    <t>24.4.2020</t>
  </si>
  <si>
    <t>Parcelní čísla: 1192/68, 1192/43, 1192/45, 2454</t>
  </si>
  <si>
    <t xml:space="preserve">Genista tinctoria </t>
  </si>
  <si>
    <t>kručinka barvířská</t>
  </si>
  <si>
    <t>20 - 30</t>
  </si>
  <si>
    <t>mochna křovitá</t>
  </si>
  <si>
    <t>Potentilla fruticosa 'Snowflake'</t>
  </si>
  <si>
    <t>Spiraea betulifolia</t>
  </si>
  <si>
    <t>tavolník břízolistý</t>
  </si>
  <si>
    <t>Symphoricarpos x chenaultii 'Hancock'</t>
  </si>
  <si>
    <t>pámelník Chenaultův</t>
  </si>
  <si>
    <t xml:space="preserve">Nižší keře a popínavé rostliny </t>
  </si>
  <si>
    <t xml:space="preserve">Cornus sanguinea </t>
  </si>
  <si>
    <t>svída krvavá</t>
  </si>
  <si>
    <t>60 - 80</t>
  </si>
  <si>
    <t>Cotoneaster integerrimus</t>
  </si>
  <si>
    <t>skalník obecný</t>
  </si>
  <si>
    <t>Ligustrum vulgare 'Atrovirens'</t>
  </si>
  <si>
    <t>ptačí zob obecný</t>
  </si>
  <si>
    <t xml:space="preserve">Agastache 'Black Adder' </t>
  </si>
  <si>
    <t>agastache</t>
  </si>
  <si>
    <t>k9</t>
  </si>
  <si>
    <t>Achillea millefolium 'Moonshine'</t>
  </si>
  <si>
    <t>řebříček obecný</t>
  </si>
  <si>
    <t>Centranthus ruber 'Coccineus'</t>
  </si>
  <si>
    <t>mavuň červená</t>
  </si>
  <si>
    <t>gaura</t>
  </si>
  <si>
    <t>Geranium sanquineum 'Album'</t>
  </si>
  <si>
    <t>kakost krvavý</t>
  </si>
  <si>
    <t>Iris palida 'Dalmatica'</t>
  </si>
  <si>
    <t>kosatec</t>
  </si>
  <si>
    <t>Knautia macedonica</t>
  </si>
  <si>
    <t>knautie</t>
  </si>
  <si>
    <t>Lavandula angustifolia 'Hid. Blue Strain'</t>
  </si>
  <si>
    <t>Leucanthemum vulgare 'Maikönigin'</t>
  </si>
  <si>
    <t>kopretina</t>
  </si>
  <si>
    <t>Miscanthus sinensis 'Kleine Fontäne'</t>
  </si>
  <si>
    <t>ozdobnice čínská</t>
  </si>
  <si>
    <t>C2</t>
  </si>
  <si>
    <t>Panicum virgatum 'Rotstrahlbusch'</t>
  </si>
  <si>
    <t>proso panenské</t>
  </si>
  <si>
    <t>Salvia verticilata 'Purple Rain'</t>
  </si>
  <si>
    <t>šalvěj</t>
  </si>
  <si>
    <t>Trvalky a traviny - výsadba v pásech</t>
  </si>
  <si>
    <t>Trvalky a traviny - výsadba v pásech - celkem</t>
  </si>
  <si>
    <t>Trvalky a traviny - smíšená výsadba</t>
  </si>
  <si>
    <t>Trvalky a traviny - smíšená výsadba - celkem</t>
  </si>
  <si>
    <t>Achillea Coronation Gold</t>
  </si>
  <si>
    <t>řebříček</t>
  </si>
  <si>
    <t>Achnatherum calamagrostis</t>
  </si>
  <si>
    <t>kavyl</t>
  </si>
  <si>
    <t>Anaphalis triplinervis</t>
  </si>
  <si>
    <t>plesnivka</t>
  </si>
  <si>
    <t>Anemone sylvestris</t>
  </si>
  <si>
    <t>sasanka</t>
  </si>
  <si>
    <t>Aster amellus  Sternkugel</t>
  </si>
  <si>
    <t>hvězdnice</t>
  </si>
  <si>
    <t>Aster linosyris</t>
  </si>
  <si>
    <t>Calamintha nepeta</t>
  </si>
  <si>
    <t>marulka</t>
  </si>
  <si>
    <t>Catanache caerulea</t>
  </si>
  <si>
    <t>poblekla</t>
  </si>
  <si>
    <t>Euphorbia polychroma</t>
  </si>
  <si>
    <t>pryšec</t>
  </si>
  <si>
    <t>Filipendula vulgaris Plena</t>
  </si>
  <si>
    <t>tužebník</t>
  </si>
  <si>
    <t>Gaura lindheimeri</t>
  </si>
  <si>
    <t>Geranium renardii</t>
  </si>
  <si>
    <t>kakost</t>
  </si>
  <si>
    <t>Geranium sanguineum</t>
  </si>
  <si>
    <t>Inula hirta</t>
  </si>
  <si>
    <t>oman</t>
  </si>
  <si>
    <t>Iris barbata - media</t>
  </si>
  <si>
    <t>Linum perenne</t>
  </si>
  <si>
    <t>len</t>
  </si>
  <si>
    <t>Lychnis coronaria</t>
  </si>
  <si>
    <t>kohoutek</t>
  </si>
  <si>
    <t>Melica ciliata</t>
  </si>
  <si>
    <t>strdivka</t>
  </si>
  <si>
    <t>Nepeta nervosa</t>
  </si>
  <si>
    <t>šanta</t>
  </si>
  <si>
    <t>Phlomis russeliana</t>
  </si>
  <si>
    <t>sápa</t>
  </si>
  <si>
    <t>Sedum telephium Herbstfreude</t>
  </si>
  <si>
    <t>rozchodník</t>
  </si>
  <si>
    <t>Thymus pulegioides</t>
  </si>
  <si>
    <t>mateřídouška</t>
  </si>
  <si>
    <t>Veronica teucrium Knallblau</t>
  </si>
  <si>
    <t>rozrazil</t>
  </si>
  <si>
    <t>Cibuloviny</t>
  </si>
  <si>
    <t>Cibuloviny- celkem</t>
  </si>
  <si>
    <t>Allium nigrum</t>
  </si>
  <si>
    <t>okrasný česnek</t>
  </si>
  <si>
    <t>cibule</t>
  </si>
  <si>
    <t>Allium sphaerocephalon</t>
  </si>
  <si>
    <t>Crocus tommasinianus</t>
  </si>
  <si>
    <t>krokus</t>
  </si>
  <si>
    <t>Muscari latifolium</t>
  </si>
  <si>
    <t>modřenec</t>
  </si>
  <si>
    <t>Tulipa praestans Fusilier</t>
  </si>
  <si>
    <t>tulipán</t>
  </si>
  <si>
    <t>183 10-1213</t>
  </si>
  <si>
    <t>Hloubení jamek pro vysazování rostlin v zemině 1 až 4 s výměnou půdy na 50 % v rovině nebo na svahu do 1:5, objemu přes 0,02 m3 do 0,05 m3</t>
  </si>
  <si>
    <t>184 10-2112</t>
  </si>
  <si>
    <t xml:space="preserve">Výsadba dřeviny s balem do předem vyhloubené jamky se zalitím v rovině nebo na svahu do 1:5, při průměru balu přes 200 do 300 mm </t>
  </si>
  <si>
    <t>Pěstební substrát  0,025 m3 / 1 ks, včetně ceny dopravy materiálu</t>
  </si>
  <si>
    <t>Hnojení tabletovým hnojivem s obsahem ureaformu hořčíku a stopových prvků  vč. Dodávky (3 ks tablet / vyšší keř), vč. ceny dopravy materiálu a aplikace</t>
  </si>
  <si>
    <t>Absorbční prostředek - práškový koncentrát  v dávce 20 g ke každému vyššímu keři, vč. ceny dopravy materiálu a aplikace</t>
  </si>
  <si>
    <t>Výsadba květin - výsadba v pásech</t>
  </si>
  <si>
    <t>Výsadba květin - výsadba v pásech - celkem</t>
  </si>
  <si>
    <t>Založení smíšených trvalkových záhonů</t>
  </si>
  <si>
    <t>121 10-3111</t>
  </si>
  <si>
    <t xml:space="preserve">Nakládka a odvoz zeminy na místo určené na skládkování, včetně skládkovného </t>
  </si>
  <si>
    <t xml:space="preserve">Dodávka štěrku fr. 8/16  pro smísení se zeminou v poměru 1:2 , včetně dopravy </t>
  </si>
  <si>
    <t>183 21-1313</t>
  </si>
  <si>
    <t>Výsadba květin do připravené půdy se zalitím, cibulí nebo hlíz</t>
  </si>
  <si>
    <t xml:space="preserve">Dovoz vody pro zálivku rostlin na vzdálenost do 1000 m </t>
  </si>
  <si>
    <t>184 91-1161</t>
  </si>
  <si>
    <t>Mulčování záhonů kačírkem tl. vrstvy do 0,1 m v rovině a svahu do 1:5</t>
  </si>
  <si>
    <t>Dodávka stěrku fr. 8/16 pro zamulčování rostlin,  tl. vrstvy 0,07 m, vč. ceny dopravy materiálu</t>
  </si>
  <si>
    <t>Založení smíšených trvalkových záhonů - celkem</t>
  </si>
  <si>
    <t>Skrývka zemin schopných zúrodnění v rovině a ve sklonu do 1:5 (do hloubky 170 mm)</t>
  </si>
  <si>
    <t xml:space="preserve">Založení trávníku zahradnickým způsobem včetně ceny osiva a první seče </t>
  </si>
  <si>
    <t>183 40-3153</t>
  </si>
  <si>
    <t xml:space="preserve">Obdělávání půdy hrabáním v rovině  nebo na svahu do 1:5 </t>
  </si>
  <si>
    <t>181 11-4711</t>
  </si>
  <si>
    <t>Odstranění kamene sebráním a naložením na dopravní prostředek hmotnosti jednotlivě do 15 kg</t>
  </si>
  <si>
    <t>181 31-1103</t>
  </si>
  <si>
    <t xml:space="preserve"> Rozprostření a urovnání ornice v rovině nebo ve svahu sklonu do 1:5 ručně při souvislé ploše, tl. vrstvy do 200 mm</t>
  </si>
  <si>
    <t>181 41-1131</t>
  </si>
  <si>
    <t>Založení parkového trávníku na půdě předem připravené plochy do 1000 m2 výsevem včetně utažení  v rovině nebo na svahu do 1:5</t>
  </si>
  <si>
    <t xml:space="preserve">Dodání travního osiva (Parková směs) při výsevku 250 kg/ha </t>
  </si>
  <si>
    <t>Hnojení půdy nebo trávníku v rovině nebo ve svahu 1:5 umělým hnojivem na široko</t>
  </si>
  <si>
    <t>Trávníkové hnojivo 30 g/m2, vč. ceny dopravy materiálu</t>
  </si>
  <si>
    <t>111 15-1121</t>
  </si>
  <si>
    <t>Pokosení parkového trávníku při souvislé ploše do 1 000 m2 s odvozem do 20 km v rovině nebo svahu do 1:5, 3x</t>
  </si>
  <si>
    <t xml:space="preserve">Založení trávníku zahradnickým způsobem včetně ceny osiva – celkem </t>
  </si>
  <si>
    <t xml:space="preserve">Dodání travního osiva (Parková směs) při výsevku 2 g/m2 </t>
  </si>
  <si>
    <t xml:space="preserve">Dodání křemičitého písku při spotřebě 4 l/m2  </t>
  </si>
  <si>
    <t xml:space="preserve">Regenerace trávníků – celkem </t>
  </si>
  <si>
    <t>Následná péče o výsadby</t>
  </si>
  <si>
    <t>Následná péče o keřové výsadby po dobu 3 let</t>
  </si>
  <si>
    <t>Následná péče o keřové výsadby po dobu 3 let - celkem</t>
  </si>
  <si>
    <t>Geodetické vytyčení záhonů v prostoru</t>
  </si>
  <si>
    <t>Svázání okrasných travin do snopů, práce, materiál (1x/rok)</t>
  </si>
  <si>
    <t>Následná péče o trvalkové výsadby po dobu 3 let</t>
  </si>
  <si>
    <t>Následná péče o výsadby - celkem</t>
  </si>
  <si>
    <t>Následná péče o travnaté plochy po dobu 3 let</t>
  </si>
  <si>
    <t>Následná péče o travnaté plochy po dobu 3 let - celkem</t>
  </si>
  <si>
    <t>Uložení bioodpadu vzniklého následnou péčí o výsadby v roce na skládku  (100 kg bioodpadu na jednu seč a pletí)</t>
  </si>
  <si>
    <t xml:space="preserve">Náklady na dopravu </t>
  </si>
  <si>
    <t>Naložení výkopku</t>
  </si>
  <si>
    <t>Kačírek fr. 16/35 mm (plocha 328,4 m2 * 0,05 = 16,42 m3 = 32,84 t) vč ceny dopravy materiálu</t>
  </si>
  <si>
    <t>Parková lavička s opěradlem dl.1800mm / alu slitina + prášk.vypal.barva / dřevo dub, včetně dopravy</t>
  </si>
  <si>
    <t>Odpadkový koš se stříškou, ocel zn.+prášk.vypal.barva / dřevo dub, včetně dopravy</t>
  </si>
  <si>
    <t>Lehátko, dl.600 mm x š.1586mm / ocel zn.+prášk.vypal.barva / dřevo dub, včetně dopravy</t>
  </si>
  <si>
    <t>Montáž prvků na zpevněný podklad (vrtání, chemie, kotvící materiál, instalace)</t>
  </si>
  <si>
    <t>Doprava, manipulace</t>
  </si>
  <si>
    <t xml:space="preserve">Následná péče o výsadby </t>
  </si>
  <si>
    <t>183 40-3114</t>
  </si>
  <si>
    <t>Obdělání půdy kultivátorováním, v rovině nebo na svahu do 1:5</t>
  </si>
  <si>
    <t>Založení pěstební vrstvy smísením stávající zeminy a štěrku</t>
  </si>
  <si>
    <t>Tříděná zemina bonity I., včetně dopravy (vrstva 0,3 - 0,1 m), násobeno koeficientem slehnutí 1,3)</t>
  </si>
  <si>
    <t>REVITALIZACE PARKU KOŠŤÁLKOVA - ETAPA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</si>
</sst>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[$Kč-405];[Red]\-#,##0.00\ [$Kč-405]"/>
    <numFmt numFmtId="165" formatCode="#,##0\ [$Kč-405];[Red]\-#,##0\ [$Kč-405]"/>
    <numFmt numFmtId="166" formatCode="#,##0.00&quot; Kč&quot;"/>
    <numFmt numFmtId="167" formatCode="0.000"/>
    <numFmt numFmtId="168" formatCode="0.0"/>
    <numFmt numFmtId="169" formatCode="#,##0.00\ &quot;Kč&quot;"/>
    <numFmt numFmtId="170" formatCode="0.00%;\-0.00%"/>
    <numFmt numFmtId="171" formatCode="#,##0.00\ [$Kč-405]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55"/>
      <name val="Arial"/>
      <family val="2"/>
    </font>
    <font>
      <b/>
      <sz val="13"/>
      <color rgb="FFFF0000"/>
      <name val="Arial"/>
      <family val="2"/>
    </font>
    <font>
      <sz val="8"/>
      <color indexed="55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87">
    <xf numFmtId="0" fontId="0" fillId="0" borderId="0" xfId="0"/>
    <xf numFmtId="0" fontId="2" fillId="0" borderId="0" xfId="20" applyFont="1" applyAlignment="1">
      <alignment vertical="center"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center" vertical="center"/>
      <protection/>
    </xf>
    <xf numFmtId="164" fontId="2" fillId="0" borderId="0" xfId="20" applyNumberFormat="1" applyFont="1" applyAlignment="1">
      <alignment horizontal="center" vertical="center"/>
      <protection/>
    </xf>
    <xf numFmtId="0" fontId="3" fillId="0" borderId="0" xfId="20" applyFont="1" applyFill="1" applyBorder="1" applyAlignment="1">
      <alignment vertical="center"/>
      <protection/>
    </xf>
    <xf numFmtId="0" fontId="2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6" fillId="0" borderId="1" xfId="20" applyFont="1" applyFill="1" applyBorder="1" applyAlignment="1">
      <alignment horizontal="center" vertical="center"/>
      <protection/>
    </xf>
    <xf numFmtId="0" fontId="0" fillId="0" borderId="1" xfId="20" applyFont="1" applyFill="1" applyBorder="1" applyAlignment="1">
      <alignment horizontal="center" vertical="center"/>
      <protection/>
    </xf>
    <xf numFmtId="164" fontId="6" fillId="0" borderId="1" xfId="20" applyNumberFormat="1" applyFont="1" applyFill="1" applyBorder="1" applyAlignment="1">
      <alignment horizontal="right"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0" fillId="0" borderId="0" xfId="20" applyFont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164" fontId="0" fillId="0" borderId="1" xfId="20" applyNumberFormat="1" applyFont="1" applyFill="1" applyBorder="1" applyAlignment="1">
      <alignment horizontal="right" vertical="center"/>
      <protection/>
    </xf>
    <xf numFmtId="14" fontId="0" fillId="2" borderId="1" xfId="20" applyNumberFormat="1" applyFont="1" applyFill="1" applyBorder="1" applyAlignment="1">
      <alignment horizontal="center" vertical="center"/>
      <protection/>
    </xf>
    <xf numFmtId="164" fontId="0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center" vertical="center"/>
    </xf>
    <xf numFmtId="0" fontId="2" fillId="0" borderId="1" xfId="20" applyFont="1" applyBorder="1" applyAlignment="1">
      <alignment horizontal="center" vertical="center"/>
      <protection/>
    </xf>
    <xf numFmtId="0" fontId="0" fillId="3" borderId="1" xfId="20" applyFont="1" applyFill="1" applyBorder="1" applyAlignment="1">
      <alignment horizontal="center" vertical="center"/>
      <protection/>
    </xf>
    <xf numFmtId="0" fontId="0" fillId="0" borderId="1" xfId="20" applyFont="1" applyFill="1" applyBorder="1" applyAlignment="1">
      <alignment horizontal="center" vertical="center"/>
      <protection/>
    </xf>
    <xf numFmtId="0" fontId="2" fillId="3" borderId="0" xfId="20" applyFont="1" applyFill="1">
      <alignment/>
      <protection/>
    </xf>
    <xf numFmtId="0" fontId="3" fillId="3" borderId="0" xfId="20" applyFont="1" applyFill="1">
      <alignment/>
      <protection/>
    </xf>
    <xf numFmtId="1" fontId="0" fillId="0" borderId="1" xfId="20" applyNumberFormat="1" applyFont="1" applyFill="1" applyBorder="1" applyAlignment="1">
      <alignment horizontal="center" vertical="center"/>
      <protection/>
    </xf>
    <xf numFmtId="0" fontId="0" fillId="0" borderId="1" xfId="20" applyFont="1" applyFill="1" applyBorder="1" applyAlignment="1">
      <alignment horizontal="center" vertical="center" wrapText="1"/>
      <protection/>
    </xf>
    <xf numFmtId="0" fontId="0" fillId="3" borderId="1" xfId="20" applyFont="1" applyFill="1" applyBorder="1" applyAlignment="1">
      <alignment horizontal="center" vertical="center"/>
      <protection/>
    </xf>
    <xf numFmtId="0" fontId="0" fillId="0" borderId="0" xfId="20" applyFont="1">
      <alignment/>
      <protection/>
    </xf>
    <xf numFmtId="2" fontId="0" fillId="0" borderId="1" xfId="20" applyNumberFormat="1" applyFont="1" applyFill="1" applyBorder="1" applyAlignment="1">
      <alignment horizontal="center" vertical="center"/>
      <protection/>
    </xf>
    <xf numFmtId="0" fontId="0" fillId="4" borderId="1" xfId="20" applyFont="1" applyFill="1" applyBorder="1" applyAlignment="1">
      <alignment horizontal="center" vertical="center"/>
      <protection/>
    </xf>
    <xf numFmtId="0" fontId="4" fillId="5" borderId="1" xfId="20" applyFont="1" applyFill="1" applyBorder="1" applyAlignment="1">
      <alignment vertical="center"/>
      <protection/>
    </xf>
    <xf numFmtId="0" fontId="0" fillId="3" borderId="1" xfId="0" applyFont="1" applyFill="1" applyBorder="1" applyAlignment="1">
      <alignment horizontal="center" vertical="center"/>
    </xf>
    <xf numFmtId="0" fontId="13" fillId="0" borderId="0" xfId="20" applyFont="1">
      <alignment/>
      <protection/>
    </xf>
    <xf numFmtId="0" fontId="0" fillId="0" borderId="1" xfId="20" applyFont="1" applyFill="1" applyBorder="1" applyAlignment="1">
      <alignment horizontal="center" vertical="center" wrapText="1"/>
      <protection/>
    </xf>
    <xf numFmtId="0" fontId="0" fillId="6" borderId="0" xfId="20" applyFont="1" applyFill="1">
      <alignment/>
      <protection/>
    </xf>
    <xf numFmtId="0" fontId="2" fillId="7" borderId="1" xfId="20" applyFont="1" applyFill="1" applyBorder="1" applyAlignment="1">
      <alignment horizontal="center" vertical="center"/>
      <protection/>
    </xf>
    <xf numFmtId="0" fontId="2" fillId="7" borderId="0" xfId="20" applyFont="1" applyFill="1">
      <alignment/>
      <protection/>
    </xf>
    <xf numFmtId="0" fontId="2" fillId="8" borderId="1" xfId="20" applyFont="1" applyFill="1" applyBorder="1" applyAlignment="1">
      <alignment horizontal="center" vertical="center"/>
      <protection/>
    </xf>
    <xf numFmtId="0" fontId="0" fillId="9" borderId="1" xfId="20" applyFont="1" applyFill="1" applyBorder="1">
      <alignment/>
      <protection/>
    </xf>
    <xf numFmtId="0" fontId="0" fillId="9" borderId="1" xfId="0" applyFont="1" applyFill="1" applyBorder="1" applyAlignment="1">
      <alignment horizontal="center" vertical="center"/>
    </xf>
    <xf numFmtId="0" fontId="0" fillId="9" borderId="1" xfId="20" applyFont="1" applyFill="1" applyBorder="1" applyAlignment="1">
      <alignment horizontal="center" vertical="center"/>
      <protection/>
    </xf>
    <xf numFmtId="0" fontId="0" fillId="9" borderId="0" xfId="20" applyFont="1" applyFill="1" applyBorder="1">
      <alignment/>
      <protection/>
    </xf>
    <xf numFmtId="49" fontId="0" fillId="0" borderId="1" xfId="0" applyNumberFormat="1" applyBorder="1" applyAlignment="1">
      <alignment horizontal="center" vertical="center"/>
    </xf>
    <xf numFmtId="49" fontId="14" fillId="0" borderId="1" xfId="20" applyNumberFormat="1" applyFont="1" applyFill="1" applyBorder="1" applyAlignment="1">
      <alignment horizontal="center" vertical="center" wrapText="1"/>
      <protection/>
    </xf>
    <xf numFmtId="0" fontId="0" fillId="10" borderId="0" xfId="20" applyFont="1" applyFill="1">
      <alignment/>
      <protection/>
    </xf>
    <xf numFmtId="0" fontId="0" fillId="10" borderId="1" xfId="0" applyFont="1" applyFill="1" applyBorder="1" applyAlignment="1">
      <alignment horizontal="center" vertical="center"/>
    </xf>
    <xf numFmtId="0" fontId="3" fillId="11" borderId="0" xfId="20" applyFont="1" applyFill="1">
      <alignment/>
      <protection/>
    </xf>
    <xf numFmtId="0" fontId="5" fillId="5" borderId="1" xfId="20" applyFont="1" applyFill="1" applyBorder="1" applyAlignment="1">
      <alignment vertical="center"/>
      <protection/>
    </xf>
    <xf numFmtId="0" fontId="3" fillId="0" borderId="0" xfId="20" applyFont="1">
      <alignment/>
      <protection/>
    </xf>
    <xf numFmtId="169" fontId="0" fillId="0" borderId="1" xfId="20" applyNumberFormat="1" applyFont="1" applyFill="1" applyBorder="1" applyAlignment="1">
      <alignment horizontal="right" vertical="center"/>
      <protection/>
    </xf>
    <xf numFmtId="1" fontId="0" fillId="0" borderId="1" xfId="20" applyNumberFormat="1" applyFont="1" applyFill="1" applyBorder="1" applyAlignment="1">
      <alignment horizontal="center" vertical="center"/>
      <protection/>
    </xf>
    <xf numFmtId="0" fontId="6" fillId="9" borderId="1" xfId="20" applyFont="1" applyFill="1" applyBorder="1" applyAlignment="1">
      <alignment horizontal="center" vertical="center"/>
      <protection/>
    </xf>
    <xf numFmtId="168" fontId="0" fillId="9" borderId="1" xfId="20" applyNumberFormat="1" applyFont="1" applyFill="1" applyBorder="1" applyAlignment="1">
      <alignment horizontal="center" vertical="center"/>
      <protection/>
    </xf>
    <xf numFmtId="2" fontId="6" fillId="9" borderId="1" xfId="20" applyNumberFormat="1" applyFont="1" applyFill="1" applyBorder="1" applyAlignment="1">
      <alignment horizontal="center" vertical="center"/>
      <protection/>
    </xf>
    <xf numFmtId="9" fontId="0" fillId="12" borderId="1" xfId="20" applyNumberFormat="1" applyFont="1" applyFill="1" applyBorder="1" applyAlignment="1">
      <alignment horizontal="center" vertical="center"/>
      <protection/>
    </xf>
    <xf numFmtId="0" fontId="2" fillId="13" borderId="1" xfId="20" applyFont="1" applyFill="1" applyBorder="1">
      <alignment/>
      <protection/>
    </xf>
    <xf numFmtId="0" fontId="2" fillId="0" borderId="0" xfId="20" applyFont="1" applyBorder="1" applyAlignment="1">
      <alignment vertical="center"/>
      <protection/>
    </xf>
    <xf numFmtId="165" fontId="0" fillId="0" borderId="0" xfId="20" applyNumberFormat="1" applyFont="1" applyFill="1" applyBorder="1" applyAlignment="1">
      <alignment vertical="center"/>
      <protection/>
    </xf>
    <xf numFmtId="165" fontId="0" fillId="9" borderId="0" xfId="20" applyNumberFormat="1" applyFont="1" applyFill="1" applyBorder="1" applyAlignment="1">
      <alignment vertical="center"/>
      <protection/>
    </xf>
    <xf numFmtId="165" fontId="7" fillId="12" borderId="0" xfId="20" applyNumberFormat="1" applyFont="1" applyFill="1" applyBorder="1" applyAlignment="1">
      <alignment vertical="center"/>
      <protection/>
    </xf>
    <xf numFmtId="169" fontId="0" fillId="9" borderId="1" xfId="20" applyNumberFormat="1" applyFont="1" applyFill="1" applyBorder="1" applyAlignment="1">
      <alignment horizontal="right" vertical="center"/>
      <protection/>
    </xf>
    <xf numFmtId="169" fontId="6" fillId="9" borderId="1" xfId="20" applyNumberFormat="1" applyFont="1" applyFill="1" applyBorder="1" applyAlignment="1">
      <alignment horizontal="right" vertical="center"/>
      <protection/>
    </xf>
    <xf numFmtId="9" fontId="0" fillId="0" borderId="1" xfId="20" applyNumberFormat="1" applyFont="1" applyFill="1" applyBorder="1" applyAlignment="1">
      <alignment horizontal="center" vertical="center"/>
      <protection/>
    </xf>
    <xf numFmtId="0" fontId="2" fillId="14" borderId="1" xfId="20" applyFont="1" applyFill="1" applyBorder="1" applyAlignment="1">
      <alignment horizontal="center" vertical="center"/>
      <protection/>
    </xf>
    <xf numFmtId="0" fontId="3" fillId="11" borderId="0" xfId="20" applyFont="1" applyFill="1" applyBorder="1">
      <alignment/>
      <protection/>
    </xf>
    <xf numFmtId="0" fontId="2" fillId="0" borderId="1" xfId="20" applyFont="1" applyFill="1" applyBorder="1" applyAlignment="1">
      <alignment horizontal="center" vertical="center"/>
      <protection/>
    </xf>
    <xf numFmtId="169" fontId="6" fillId="0" borderId="1" xfId="20" applyNumberFormat="1" applyFont="1" applyFill="1" applyBorder="1" applyAlignment="1">
      <alignment horizontal="right" vertical="center" wrapText="1"/>
      <protection/>
    </xf>
    <xf numFmtId="169" fontId="7" fillId="15" borderId="1" xfId="20" applyNumberFormat="1" applyFont="1" applyFill="1" applyBorder="1" applyAlignment="1">
      <alignment vertical="center"/>
      <protection/>
    </xf>
    <xf numFmtId="169" fontId="7" fillId="4" borderId="1" xfId="20" applyNumberFormat="1" applyFont="1" applyFill="1" applyBorder="1" applyAlignment="1">
      <alignment vertical="center"/>
      <protection/>
    </xf>
    <xf numFmtId="169" fontId="7" fillId="5" borderId="1" xfId="20" applyNumberFormat="1" applyFont="1" applyFill="1" applyBorder="1" applyAlignment="1">
      <alignment vertical="center"/>
      <protection/>
    </xf>
    <xf numFmtId="169" fontId="0" fillId="0" borderId="1" xfId="20" applyNumberFormat="1" applyFont="1" applyFill="1" applyBorder="1" applyAlignment="1">
      <alignment horizontal="right" vertical="center" wrapText="1"/>
      <protection/>
    </xf>
    <xf numFmtId="169" fontId="7" fillId="16" borderId="1" xfId="20" applyNumberFormat="1" applyFont="1" applyFill="1" applyBorder="1" applyAlignment="1">
      <alignment vertical="center"/>
      <protection/>
    </xf>
    <xf numFmtId="169" fontId="3" fillId="13" borderId="1" xfId="20" applyNumberFormat="1" applyFont="1" applyFill="1" applyBorder="1" applyAlignment="1">
      <alignment vertical="center"/>
      <protection/>
    </xf>
    <xf numFmtId="169" fontId="2" fillId="0" borderId="0" xfId="20" applyNumberFormat="1" applyFont="1" applyAlignment="1">
      <alignment vertical="center"/>
      <protection/>
    </xf>
    <xf numFmtId="14" fontId="0" fillId="2" borderId="1" xfId="20" applyNumberFormat="1" applyFont="1" applyFill="1" applyBorder="1" applyAlignment="1">
      <alignment horizontal="center" vertical="center"/>
      <protection/>
    </xf>
    <xf numFmtId="164" fontId="0" fillId="4" borderId="1" xfId="20" applyNumberFormat="1" applyFont="1" applyFill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0" fontId="0" fillId="9" borderId="1" xfId="20" applyFont="1" applyFill="1" applyBorder="1" applyAlignment="1">
      <alignment horizontal="center" vertical="center"/>
      <protection/>
    </xf>
    <xf numFmtId="164" fontId="0" fillId="9" borderId="1" xfId="20" applyNumberFormat="1" applyFont="1" applyFill="1" applyBorder="1" applyAlignment="1">
      <alignment horizontal="right" vertical="center"/>
      <protection/>
    </xf>
    <xf numFmtId="0" fontId="2" fillId="9" borderId="0" xfId="20" applyFont="1" applyFill="1">
      <alignment/>
      <protection/>
    </xf>
    <xf numFmtId="0" fontId="0" fillId="9" borderId="1" xfId="20" applyFont="1" applyFill="1" applyBorder="1" applyAlignment="1">
      <alignment horizontal="center" vertical="center" wrapText="1"/>
      <protection/>
    </xf>
    <xf numFmtId="169" fontId="0" fillId="9" borderId="1" xfId="20" applyNumberFormat="1" applyFont="1" applyFill="1" applyBorder="1" applyAlignment="1">
      <alignment horizontal="right" vertical="center" wrapText="1"/>
      <protection/>
    </xf>
    <xf numFmtId="0" fontId="0" fillId="9" borderId="0" xfId="20" applyFont="1" applyFill="1">
      <alignment/>
      <protection/>
    </xf>
    <xf numFmtId="0" fontId="7" fillId="0" borderId="0" xfId="20" applyFont="1" applyFill="1" applyBorder="1" applyAlignment="1">
      <alignment vertical="center"/>
      <protection/>
    </xf>
    <xf numFmtId="0" fontId="0" fillId="9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0" fontId="2" fillId="7" borderId="0" xfId="20" applyFont="1" applyFill="1" applyBorder="1" applyAlignment="1">
      <alignment vertical="center"/>
      <protection/>
    </xf>
    <xf numFmtId="0" fontId="2" fillId="7" borderId="0" xfId="20" applyFont="1" applyFill="1" applyBorder="1">
      <alignment/>
      <protection/>
    </xf>
    <xf numFmtId="0" fontId="2" fillId="3" borderId="0" xfId="20" applyFont="1" applyFill="1" applyBorder="1" applyAlignment="1">
      <alignment vertical="center"/>
      <protection/>
    </xf>
    <xf numFmtId="0" fontId="2" fillId="3" borderId="0" xfId="20" applyFont="1" applyFill="1" applyBorder="1">
      <alignment/>
      <protection/>
    </xf>
    <xf numFmtId="0" fontId="3" fillId="3" borderId="0" xfId="20" applyFont="1" applyFill="1" applyBorder="1" applyAlignment="1">
      <alignment vertical="center"/>
      <protection/>
    </xf>
    <xf numFmtId="0" fontId="3" fillId="3" borderId="0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0" xfId="20" applyFont="1" applyFill="1" applyBorder="1" applyAlignment="1">
      <alignment vertical="center"/>
      <protection/>
    </xf>
    <xf numFmtId="0" fontId="2" fillId="0" borderId="0" xfId="20" applyFont="1" applyFill="1" applyBorder="1">
      <alignment/>
      <protection/>
    </xf>
    <xf numFmtId="2" fontId="0" fillId="0" borderId="0" xfId="20" applyNumberFormat="1" applyFont="1" applyFill="1" applyBorder="1" applyAlignment="1">
      <alignment horizontal="center" vertical="center"/>
      <protection/>
    </xf>
    <xf numFmtId="164" fontId="0" fillId="3" borderId="0" xfId="20" applyNumberFormat="1" applyFont="1" applyFill="1" applyBorder="1" applyAlignment="1">
      <alignment horizontal="right" vertical="center"/>
      <protection/>
    </xf>
    <xf numFmtId="0" fontId="2" fillId="9" borderId="0" xfId="20" applyFont="1" applyFill="1" applyBorder="1" applyAlignment="1">
      <alignment vertical="center"/>
      <protection/>
    </xf>
    <xf numFmtId="0" fontId="2" fillId="9" borderId="0" xfId="20" applyFont="1" applyFill="1" applyBorder="1">
      <alignment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Border="1">
      <alignment/>
      <protection/>
    </xf>
    <xf numFmtId="0" fontId="0" fillId="0" borderId="0" xfId="20" applyFont="1" applyBorder="1">
      <alignment/>
      <protection/>
    </xf>
    <xf numFmtId="0" fontId="0" fillId="10" borderId="0" xfId="20" applyFont="1" applyFill="1" applyBorder="1">
      <alignment/>
      <protection/>
    </xf>
    <xf numFmtId="0" fontId="0" fillId="6" borderId="0" xfId="20" applyFont="1" applyFill="1" applyBorder="1">
      <alignment/>
      <protection/>
    </xf>
    <xf numFmtId="1" fontId="7" fillId="2" borderId="1" xfId="20" applyNumberFormat="1" applyFont="1" applyFill="1" applyBorder="1" applyAlignment="1">
      <alignment horizontal="center" vertical="center"/>
      <protection/>
    </xf>
    <xf numFmtId="169" fontId="3" fillId="8" borderId="1" xfId="20" applyNumberFormat="1" applyFont="1" applyFill="1" applyBorder="1" applyAlignment="1">
      <alignment vertical="center"/>
      <protection/>
    </xf>
    <xf numFmtId="164" fontId="0" fillId="12" borderId="1" xfId="20" applyNumberFormat="1" applyFont="1" applyFill="1" applyBorder="1" applyAlignment="1">
      <alignment horizontal="center" vertical="center"/>
      <protection/>
    </xf>
    <xf numFmtId="169" fontId="7" fillId="12" borderId="1" xfId="20" applyNumberFormat="1" applyFont="1" applyFill="1" applyBorder="1" applyAlignment="1">
      <alignment vertical="center"/>
      <protection/>
    </xf>
    <xf numFmtId="169" fontId="2" fillId="0" borderId="1" xfId="20" applyNumberFormat="1" applyFont="1" applyBorder="1" applyAlignment="1">
      <alignment horizontal="right" vertical="center"/>
      <protection/>
    </xf>
    <xf numFmtId="0" fontId="0" fillId="6" borderId="1" xfId="0" applyFont="1" applyFill="1" applyBorder="1" applyAlignment="1">
      <alignment horizontal="center" vertical="center"/>
    </xf>
    <xf numFmtId="0" fontId="3" fillId="13" borderId="1" xfId="20" applyFont="1" applyFill="1" applyBorder="1" applyAlignment="1">
      <alignment vertical="center"/>
      <protection/>
    </xf>
    <xf numFmtId="169" fontId="7" fillId="13" borderId="1" xfId="20" applyNumberFormat="1" applyFont="1" applyFill="1" applyBorder="1" applyAlignment="1">
      <alignment vertical="center"/>
      <protection/>
    </xf>
    <xf numFmtId="169" fontId="7" fillId="6" borderId="1" xfId="20" applyNumberFormat="1" applyFont="1" applyFill="1" applyBorder="1" applyAlignment="1">
      <alignment vertical="center"/>
      <protection/>
    </xf>
    <xf numFmtId="0" fontId="0" fillId="0" borderId="1" xfId="20" applyBorder="1" applyAlignment="1">
      <alignment horizontal="center" vertical="center"/>
      <protection/>
    </xf>
    <xf numFmtId="0" fontId="0" fillId="17" borderId="1" xfId="20" applyFill="1" applyBorder="1" applyAlignment="1">
      <alignment horizontal="center" vertical="center"/>
      <protection/>
    </xf>
    <xf numFmtId="0" fontId="0" fillId="18" borderId="1" xfId="20" applyFill="1" applyBorder="1" applyAlignment="1">
      <alignment horizontal="center" vertical="center"/>
      <protection/>
    </xf>
    <xf numFmtId="0" fontId="0" fillId="9" borderId="1" xfId="20" applyFill="1" applyBorder="1" applyAlignment="1">
      <alignment horizontal="center" vertical="center"/>
      <protection/>
    </xf>
    <xf numFmtId="0" fontId="0" fillId="19" borderId="1" xfId="20" applyFill="1" applyBorder="1" applyAlignment="1">
      <alignment horizontal="center" vertical="center"/>
      <protection/>
    </xf>
    <xf numFmtId="0" fontId="0" fillId="19" borderId="1" xfId="20" applyFont="1" applyFill="1" applyBorder="1" applyAlignment="1">
      <alignment horizontal="center" vertical="center"/>
      <protection/>
    </xf>
    <xf numFmtId="0" fontId="0" fillId="18" borderId="1" xfId="20" applyFont="1" applyFill="1" applyBorder="1" applyAlignment="1">
      <alignment horizontal="center" vertical="center"/>
      <protection/>
    </xf>
    <xf numFmtId="0" fontId="0" fillId="9" borderId="3" xfId="20" applyFont="1" applyFill="1" applyBorder="1" applyAlignment="1">
      <alignment vertical="center"/>
      <protection/>
    </xf>
    <xf numFmtId="169" fontId="0" fillId="9" borderId="1" xfId="20" applyNumberFormat="1" applyFont="1" applyFill="1" applyBorder="1" applyAlignment="1">
      <alignment vertical="center"/>
      <protection/>
    </xf>
    <xf numFmtId="0" fontId="0" fillId="0" borderId="1" xfId="0" applyBorder="1" applyAlignment="1">
      <alignment horizontal="center" vertical="center"/>
    </xf>
    <xf numFmtId="0" fontId="7" fillId="13" borderId="1" xfId="20" applyFont="1" applyFill="1" applyBorder="1" applyAlignment="1">
      <alignment vertical="center"/>
      <protection/>
    </xf>
    <xf numFmtId="0" fontId="9" fillId="0" borderId="0" xfId="20" applyFont="1" applyAlignment="1">
      <alignment horizontal="center" vertical="center"/>
      <protection/>
    </xf>
    <xf numFmtId="0" fontId="9" fillId="9" borderId="0" xfId="20" applyFont="1" applyFill="1" applyAlignment="1">
      <alignment horizontal="center" vertical="center"/>
      <protection/>
    </xf>
    <xf numFmtId="0" fontId="14" fillId="0" borderId="0" xfId="23" applyFont="1">
      <alignment/>
      <protection/>
    </xf>
    <xf numFmtId="0" fontId="14" fillId="9" borderId="0" xfId="23" applyFont="1" applyFill="1">
      <alignment/>
      <protection/>
    </xf>
    <xf numFmtId="0" fontId="3" fillId="0" borderId="0" xfId="20" applyFont="1" applyAlignment="1">
      <alignment horizontal="center" vertical="center"/>
      <protection/>
    </xf>
    <xf numFmtId="0" fontId="16" fillId="0" borderId="0" xfId="23" applyFont="1" applyAlignment="1" applyProtection="1">
      <alignment horizontal="left" vertical="center"/>
      <protection locked="0"/>
    </xf>
    <xf numFmtId="0" fontId="14" fillId="0" borderId="0" xfId="23" applyFont="1" applyAlignment="1" applyProtection="1">
      <alignment horizontal="left" vertical="center"/>
      <protection locked="0"/>
    </xf>
    <xf numFmtId="170" fontId="16" fillId="0" borderId="0" xfId="23" applyNumberFormat="1" applyFont="1" applyAlignment="1" applyProtection="1">
      <alignment vertical="center"/>
      <protection locked="0"/>
    </xf>
    <xf numFmtId="0" fontId="14" fillId="9" borderId="0" xfId="23" applyFont="1" applyFill="1" applyAlignment="1" applyProtection="1">
      <alignment horizontal="left" vertical="center"/>
      <protection locked="0"/>
    </xf>
    <xf numFmtId="0" fontId="4" fillId="20" borderId="0" xfId="20" applyFont="1" applyFill="1" applyAlignment="1">
      <alignment vertical="center"/>
      <protection/>
    </xf>
    <xf numFmtId="0" fontId="15" fillId="13" borderId="0" xfId="23" applyFont="1" applyFill="1" applyAlignment="1">
      <alignment vertical="center"/>
      <protection/>
    </xf>
    <xf numFmtId="169" fontId="15" fillId="13" borderId="1" xfId="23" applyNumberFormat="1" applyFont="1" applyFill="1" applyBorder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7" fillId="0" borderId="0" xfId="20" applyFont="1" applyAlignment="1">
      <alignment horizontal="left" vertical="center"/>
      <protection/>
    </xf>
    <xf numFmtId="0" fontId="7" fillId="9" borderId="0" xfId="20" applyFont="1" applyFill="1" applyAlignment="1">
      <alignment horizontal="left" vertical="center"/>
      <protection/>
    </xf>
    <xf numFmtId="0" fontId="0" fillId="0" borderId="0" xfId="20" applyAlignment="1">
      <alignment horizontal="center" vertical="center"/>
      <protection/>
    </xf>
    <xf numFmtId="169" fontId="15" fillId="9" borderId="0" xfId="23" applyNumberFormat="1" applyFont="1" applyFill="1" applyAlignment="1">
      <alignment vertical="center"/>
      <protection/>
    </xf>
    <xf numFmtId="0" fontId="2" fillId="9" borderId="0" xfId="23" applyFont="1" applyFill="1">
      <alignment/>
      <protection/>
    </xf>
    <xf numFmtId="0" fontId="2" fillId="0" borderId="0" xfId="23" applyFont="1">
      <alignment/>
      <protection/>
    </xf>
    <xf numFmtId="0" fontId="17" fillId="0" borderId="0" xfId="20" applyFont="1" applyAlignment="1">
      <alignment horizontal="center" vertical="center"/>
      <protection/>
    </xf>
    <xf numFmtId="0" fontId="13" fillId="0" borderId="0" xfId="23" applyFont="1">
      <alignment/>
      <protection/>
    </xf>
    <xf numFmtId="0" fontId="13" fillId="9" borderId="0" xfId="23" applyFont="1" applyFill="1">
      <alignment/>
      <protection/>
    </xf>
    <xf numFmtId="0" fontId="13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0" fontId="13" fillId="0" borderId="0" xfId="20" applyFont="1" applyAlignment="1">
      <alignment horizontal="center" vertical="center"/>
      <protection/>
    </xf>
    <xf numFmtId="164" fontId="13" fillId="0" borderId="0" xfId="20" applyNumberFormat="1" applyFont="1" applyAlignment="1">
      <alignment horizontal="center" vertical="center"/>
      <protection/>
    </xf>
    <xf numFmtId="0" fontId="17" fillId="9" borderId="0" xfId="20" applyFont="1" applyFill="1" applyAlignment="1">
      <alignment horizontal="center" vertical="center"/>
      <protection/>
    </xf>
    <xf numFmtId="0" fontId="18" fillId="0" borderId="0" xfId="23" applyFont="1" applyAlignment="1" applyProtection="1">
      <alignment horizontal="left" vertical="center"/>
      <protection locked="0"/>
    </xf>
    <xf numFmtId="170" fontId="18" fillId="0" borderId="0" xfId="23" applyNumberFormat="1" applyFont="1" applyAlignment="1" applyProtection="1">
      <alignment vertical="center"/>
      <protection locked="0"/>
    </xf>
    <xf numFmtId="164" fontId="3" fillId="21" borderId="1" xfId="23" applyNumberFormat="1" applyFont="1" applyFill="1" applyBorder="1" applyAlignment="1">
      <alignment vertical="center"/>
      <protection/>
    </xf>
    <xf numFmtId="164" fontId="3" fillId="22" borderId="1" xfId="23" applyNumberFormat="1" applyFont="1" applyFill="1" applyBorder="1" applyAlignment="1">
      <alignment vertical="center"/>
      <protection/>
    </xf>
    <xf numFmtId="0" fontId="5" fillId="16" borderId="1" xfId="20" applyFont="1" applyFill="1" applyBorder="1" applyAlignment="1">
      <alignment vertical="center"/>
      <protection/>
    </xf>
    <xf numFmtId="164" fontId="3" fillId="10" borderId="1" xfId="23" applyNumberFormat="1" applyFont="1" applyFill="1" applyBorder="1" applyAlignment="1">
      <alignment vertical="center"/>
      <protection/>
    </xf>
    <xf numFmtId="164" fontId="3" fillId="23" borderId="1" xfId="20" applyNumberFormat="1" applyFont="1" applyFill="1" applyBorder="1" applyAlignment="1">
      <alignment horizontal="right" vertical="center"/>
      <protection/>
    </xf>
    <xf numFmtId="0" fontId="0" fillId="18" borderId="1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171" fontId="0" fillId="0" borderId="1" xfId="20" applyNumberFormat="1" applyBorder="1" applyAlignment="1">
      <alignment horizontal="right" vertical="center"/>
      <protection/>
    </xf>
    <xf numFmtId="171" fontId="0" fillId="18" borderId="1" xfId="20" applyNumberFormat="1" applyFill="1" applyBorder="1" applyAlignment="1">
      <alignment horizontal="right" vertical="center"/>
      <protection/>
    </xf>
    <xf numFmtId="171" fontId="0" fillId="0" borderId="1" xfId="20" applyNumberFormat="1" applyFont="1" applyBorder="1" applyAlignment="1">
      <alignment horizontal="right" vertical="center"/>
      <protection/>
    </xf>
    <xf numFmtId="171" fontId="0" fillId="18" borderId="1" xfId="20" applyNumberFormat="1" applyFont="1" applyFill="1" applyBorder="1" applyAlignment="1">
      <alignment horizontal="right" vertical="center"/>
      <protection/>
    </xf>
    <xf numFmtId="171" fontId="6" fillId="18" borderId="1" xfId="20" applyNumberFormat="1" applyFont="1" applyFill="1" applyBorder="1" applyAlignment="1">
      <alignment horizontal="right" vertical="center"/>
      <protection/>
    </xf>
    <xf numFmtId="0" fontId="0" fillId="24" borderId="1" xfId="20" applyFont="1" applyFill="1" applyBorder="1" applyAlignment="1">
      <alignment vertical="center"/>
      <protection/>
    </xf>
    <xf numFmtId="0" fontId="10" fillId="24" borderId="1" xfId="20" applyFont="1" applyFill="1" applyBorder="1" applyAlignment="1">
      <alignment horizontal="center" vertical="center"/>
      <protection/>
    </xf>
    <xf numFmtId="164" fontId="10" fillId="24" borderId="1" xfId="20" applyNumberFormat="1" applyFont="1" applyFill="1" applyBorder="1" applyAlignment="1">
      <alignment horizontal="center" vertical="center"/>
      <protection/>
    </xf>
    <xf numFmtId="164" fontId="3" fillId="24" borderId="1" xfId="20" applyNumberFormat="1" applyFont="1" applyFill="1" applyBorder="1" applyAlignment="1">
      <alignment horizontal="right" vertical="center"/>
      <protection/>
    </xf>
    <xf numFmtId="0" fontId="14" fillId="9" borderId="0" xfId="23" applyFont="1" applyFill="1" applyAlignment="1">
      <alignment vertical="center"/>
      <protection/>
    </xf>
    <xf numFmtId="0" fontId="14" fillId="0" borderId="0" xfId="23" applyFont="1" applyAlignment="1">
      <alignment vertical="center"/>
      <protection/>
    </xf>
    <xf numFmtId="171" fontId="0" fillId="17" borderId="1" xfId="20" applyNumberFormat="1" applyFill="1" applyBorder="1" applyAlignment="1">
      <alignment horizontal="right" vertical="center"/>
      <protection/>
    </xf>
    <xf numFmtId="171" fontId="0" fillId="19" borderId="1" xfId="20" applyNumberFormat="1" applyFill="1" applyBorder="1" applyAlignment="1">
      <alignment horizontal="right" vertical="center"/>
      <protection/>
    </xf>
    <xf numFmtId="171" fontId="0" fillId="19" borderId="1" xfId="20" applyNumberFormat="1" applyFont="1" applyFill="1" applyBorder="1" applyAlignment="1">
      <alignment horizontal="right" vertical="center"/>
      <protection/>
    </xf>
    <xf numFmtId="2" fontId="0" fillId="9" borderId="1" xfId="20" applyNumberFormat="1" applyFont="1" applyFill="1" applyBorder="1" applyAlignment="1">
      <alignment horizontal="center" vertical="center"/>
      <protection/>
    </xf>
    <xf numFmtId="167" fontId="0" fillId="9" borderId="1" xfId="20" applyNumberFormat="1" applyFont="1" applyFill="1" applyBorder="1" applyAlignment="1">
      <alignment horizontal="center" vertical="center"/>
      <protection/>
    </xf>
    <xf numFmtId="164" fontId="0" fillId="0" borderId="1" xfId="20" applyNumberFormat="1" applyFont="1" applyFill="1" applyBorder="1" applyAlignment="1">
      <alignment vertical="center"/>
      <protection/>
    </xf>
    <xf numFmtId="0" fontId="0" fillId="9" borderId="1" xfId="20" applyFont="1" applyFill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2" fillId="0" borderId="0" xfId="23" applyFont="1" applyAlignment="1">
      <alignment horizontal="right"/>
      <protection/>
    </xf>
    <xf numFmtId="49" fontId="2" fillId="0" borderId="0" xfId="20" applyNumberFormat="1" applyFont="1" applyAlignment="1">
      <alignment horizontal="right"/>
      <protection/>
    </xf>
    <xf numFmtId="2" fontId="6" fillId="0" borderId="1" xfId="20" applyNumberFormat="1" applyFont="1" applyBorder="1" applyAlignment="1">
      <alignment horizontal="center" vertical="center"/>
      <protection/>
    </xf>
    <xf numFmtId="164" fontId="0" fillId="12" borderId="0" xfId="20" applyNumberFormat="1" applyFill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0" fillId="3" borderId="1" xfId="20" applyFill="1" applyBorder="1" applyAlignment="1">
      <alignment horizontal="center" vertical="center"/>
      <protection/>
    </xf>
    <xf numFmtId="2" fontId="0" fillId="0" borderId="1" xfId="20" applyNumberFormat="1" applyBorder="1" applyAlignment="1">
      <alignment horizontal="center" vertical="center"/>
      <protection/>
    </xf>
    <xf numFmtId="169" fontId="0" fillId="3" borderId="1" xfId="20" applyNumberFormat="1" applyFill="1" applyBorder="1" applyAlignment="1">
      <alignment vertical="center"/>
      <protection/>
    </xf>
    <xf numFmtId="1" fontId="0" fillId="0" borderId="1" xfId="20" applyNumberFormat="1" applyBorder="1" applyAlignment="1">
      <alignment horizontal="center" vertical="center"/>
      <protection/>
    </xf>
    <xf numFmtId="0" fontId="0" fillId="0" borderId="1" xfId="20" applyBorder="1" applyAlignment="1">
      <alignment horizontal="center" vertical="center" wrapText="1"/>
      <protection/>
    </xf>
    <xf numFmtId="0" fontId="0" fillId="3" borderId="1" xfId="0" applyFill="1" applyBorder="1" applyAlignment="1">
      <alignment horizontal="center" vertical="center"/>
    </xf>
    <xf numFmtId="164" fontId="6" fillId="9" borderId="4" xfId="20" applyNumberFormat="1" applyFont="1" applyFill="1" applyBorder="1" applyAlignment="1">
      <alignment horizontal="right" vertical="center"/>
      <protection/>
    </xf>
    <xf numFmtId="0" fontId="0" fillId="0" borderId="1" xfId="20" applyFont="1" applyBorder="1" applyAlignment="1">
      <alignment horizontal="center" vertical="center" wrapText="1"/>
      <protection/>
    </xf>
    <xf numFmtId="1" fontId="0" fillId="0" borderId="1" xfId="20" applyNumberFormat="1" applyFont="1" applyBorder="1" applyAlignment="1">
      <alignment horizontal="center" vertical="center"/>
      <protection/>
    </xf>
    <xf numFmtId="169" fontId="0" fillId="0" borderId="1" xfId="20" applyNumberFormat="1" applyBorder="1" applyAlignment="1">
      <alignment horizontal="right" vertical="center"/>
      <protection/>
    </xf>
    <xf numFmtId="9" fontId="0" fillId="0" borderId="1" xfId="20" applyNumberFormat="1" applyFont="1" applyBorder="1" applyAlignment="1">
      <alignment horizontal="center" vertical="center"/>
      <protection/>
    </xf>
    <xf numFmtId="9" fontId="0" fillId="12" borderId="1" xfId="20" applyNumberFormat="1" applyFill="1" applyBorder="1" applyAlignment="1">
      <alignment horizontal="center" vertical="center"/>
      <protection/>
    </xf>
    <xf numFmtId="169" fontId="7" fillId="12" borderId="4" xfId="20" applyNumberFormat="1" applyFont="1" applyFill="1" applyBorder="1" applyAlignment="1">
      <alignment vertical="center"/>
      <protection/>
    </xf>
    <xf numFmtId="0" fontId="0" fillId="0" borderId="5" xfId="20" applyFont="1" applyBorder="1" applyAlignment="1">
      <alignment horizontal="center" vertical="center"/>
      <protection/>
    </xf>
    <xf numFmtId="2" fontId="0" fillId="0" borderId="4" xfId="20" applyNumberFormat="1" applyFont="1" applyBorder="1" applyAlignment="1">
      <alignment horizontal="center" vertical="center"/>
      <protection/>
    </xf>
    <xf numFmtId="164" fontId="0" fillId="9" borderId="4" xfId="20" applyNumberFormat="1" applyFont="1" applyFill="1" applyBorder="1" applyAlignment="1">
      <alignment horizontal="right" vertical="center"/>
      <protection/>
    </xf>
    <xf numFmtId="164" fontId="0" fillId="12" borderId="0" xfId="20" applyNumberFormat="1" applyFont="1" applyFill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center" vertical="center"/>
      <protection/>
    </xf>
    <xf numFmtId="164" fontId="0" fillId="25" borderId="0" xfId="20" applyNumberFormat="1" applyFill="1" applyAlignment="1">
      <alignment horizontal="center" vertical="center"/>
      <protection/>
    </xf>
    <xf numFmtId="0" fontId="2" fillId="9" borderId="0" xfId="20" applyFont="1" applyFill="1" applyAlignment="1">
      <alignment vertical="center"/>
      <protection/>
    </xf>
    <xf numFmtId="164" fontId="0" fillId="0" borderId="1" xfId="20" applyNumberFormat="1" applyBorder="1" applyAlignment="1">
      <alignment horizontal="right" vertical="center"/>
      <protection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20" applyNumberFormat="1" applyBorder="1" applyAlignment="1">
      <alignment horizontal="center" vertical="center" wrapText="1"/>
      <protection/>
    </xf>
    <xf numFmtId="164" fontId="0" fillId="0" borderId="1" xfId="20" applyNumberFormat="1" applyBorder="1" applyAlignment="1">
      <alignment horizontal="right" vertical="center" wrapText="1"/>
      <protection/>
    </xf>
    <xf numFmtId="167" fontId="0" fillId="0" borderId="1" xfId="20" applyNumberFormat="1" applyBorder="1" applyAlignment="1">
      <alignment horizontal="center" vertical="center"/>
      <protection/>
    </xf>
    <xf numFmtId="166" fontId="0" fillId="0" borderId="1" xfId="20" applyNumberFormat="1" applyBorder="1" applyAlignment="1">
      <alignment horizontal="right" vertical="center"/>
      <protection/>
    </xf>
    <xf numFmtId="168" fontId="0" fillId="9" borderId="1" xfId="20" applyNumberFormat="1" applyFill="1" applyBorder="1" applyAlignment="1">
      <alignment horizontal="center" vertical="center"/>
      <protection/>
    </xf>
    <xf numFmtId="164" fontId="0" fillId="9" borderId="1" xfId="20" applyNumberFormat="1" applyFill="1" applyBorder="1" applyAlignment="1">
      <alignment horizontal="right" vertical="center"/>
      <protection/>
    </xf>
    <xf numFmtId="0" fontId="6" fillId="0" borderId="1" xfId="20" applyFont="1" applyBorder="1" applyAlignment="1">
      <alignment horizontal="center" vertical="center" wrapText="1"/>
      <protection/>
    </xf>
    <xf numFmtId="0" fontId="0" fillId="4" borderId="1" xfId="20" applyFill="1" applyBorder="1" applyAlignment="1">
      <alignment horizontal="center" vertical="center"/>
      <protection/>
    </xf>
    <xf numFmtId="164" fontId="0" fillId="4" borderId="1" xfId="20" applyNumberFormat="1" applyFill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 wrapText="1"/>
      <protection/>
    </xf>
    <xf numFmtId="2" fontId="0" fillId="0" borderId="1" xfId="20" applyNumberFormat="1" applyFont="1" applyBorder="1" applyAlignment="1">
      <alignment horizontal="center" vertical="center" wrapText="1"/>
      <protection/>
    </xf>
    <xf numFmtId="164" fontId="0" fillId="0" borderId="1" xfId="20" applyNumberFormat="1" applyFont="1" applyBorder="1" applyAlignment="1">
      <alignment horizontal="right" vertical="center" wrapText="1"/>
      <protection/>
    </xf>
    <xf numFmtId="0" fontId="2" fillId="9" borderId="1" xfId="20" applyFont="1" applyFill="1" applyBorder="1" applyAlignment="1">
      <alignment vertical="center"/>
      <protection/>
    </xf>
    <xf numFmtId="0" fontId="0" fillId="26" borderId="1" xfId="20" applyFont="1" applyFill="1" applyBorder="1" applyAlignment="1">
      <alignment horizontal="center" vertical="center" wrapText="1"/>
      <protection/>
    </xf>
    <xf numFmtId="0" fontId="0" fillId="26" borderId="0" xfId="20" applyFont="1" applyFill="1" applyBorder="1">
      <alignment/>
      <protection/>
    </xf>
    <xf numFmtId="0" fontId="0" fillId="26" borderId="0" xfId="20" applyFont="1" applyFill="1">
      <alignment/>
      <protection/>
    </xf>
    <xf numFmtId="0" fontId="0" fillId="26" borderId="1" xfId="0" applyFont="1" applyFill="1" applyBorder="1" applyAlignment="1">
      <alignment horizontal="center" vertical="center"/>
    </xf>
    <xf numFmtId="0" fontId="0" fillId="26" borderId="1" xfId="20" applyFont="1" applyFill="1" applyBorder="1" applyAlignment="1">
      <alignment horizontal="center" vertical="center"/>
      <protection/>
    </xf>
    <xf numFmtId="164" fontId="0" fillId="26" borderId="1" xfId="20" applyNumberFormat="1" applyFont="1" applyFill="1" applyBorder="1" applyAlignment="1">
      <alignment horizontal="right" vertical="center"/>
      <protection/>
    </xf>
    <xf numFmtId="169" fontId="7" fillId="26" borderId="1" xfId="20" applyNumberFormat="1" applyFont="1" applyFill="1" applyBorder="1" applyAlignment="1">
      <alignment vertical="center"/>
      <protection/>
    </xf>
    <xf numFmtId="164" fontId="7" fillId="4" borderId="1" xfId="20" applyNumberFormat="1" applyFont="1" applyFill="1" applyBorder="1" applyAlignment="1">
      <alignment vertical="center"/>
      <protection/>
    </xf>
    <xf numFmtId="0" fontId="0" fillId="27" borderId="1" xfId="20" applyFill="1" applyBorder="1" applyAlignment="1">
      <alignment horizontal="center" vertical="center"/>
      <protection/>
    </xf>
    <xf numFmtId="0" fontId="0" fillId="28" borderId="1" xfId="20" applyFill="1" applyBorder="1" applyAlignment="1">
      <alignment horizontal="center" vertical="center"/>
      <protection/>
    </xf>
    <xf numFmtId="171" fontId="0" fillId="28" borderId="1" xfId="20" applyNumberFormat="1" applyFill="1" applyBorder="1" applyAlignment="1">
      <alignment horizontal="right" vertical="center"/>
      <protection/>
    </xf>
    <xf numFmtId="169" fontId="0" fillId="27" borderId="1" xfId="20" applyNumberFormat="1" applyFont="1" applyFill="1" applyBorder="1" applyAlignment="1">
      <alignment horizontal="right" vertical="center" wrapText="1"/>
      <protection/>
    </xf>
    <xf numFmtId="0" fontId="0" fillId="27" borderId="0" xfId="20" applyFont="1" applyFill="1" applyBorder="1">
      <alignment/>
      <protection/>
    </xf>
    <xf numFmtId="0" fontId="0" fillId="27" borderId="2" xfId="20" applyFont="1" applyFill="1" applyBorder="1">
      <alignment/>
      <protection/>
    </xf>
    <xf numFmtId="0" fontId="0" fillId="27" borderId="1" xfId="20" applyFont="1" applyFill="1" applyBorder="1">
      <alignment/>
      <protection/>
    </xf>
    <xf numFmtId="0" fontId="0" fillId="27" borderId="1" xfId="20" applyFont="1" applyFill="1" applyBorder="1" applyAlignment="1">
      <alignment horizontal="center" vertical="center"/>
      <protection/>
    </xf>
    <xf numFmtId="0" fontId="0" fillId="28" borderId="1" xfId="20" applyFont="1" applyFill="1" applyBorder="1" applyAlignment="1">
      <alignment horizontal="center" vertical="center"/>
      <protection/>
    </xf>
    <xf numFmtId="171" fontId="0" fillId="28" borderId="1" xfId="20" applyNumberFormat="1" applyFont="1" applyFill="1" applyBorder="1" applyAlignment="1">
      <alignment horizontal="right" vertical="center"/>
      <protection/>
    </xf>
    <xf numFmtId="171" fontId="0" fillId="27" borderId="1" xfId="20" applyNumberFormat="1" applyFill="1" applyBorder="1" applyAlignment="1">
      <alignment horizontal="right" vertical="center"/>
      <protection/>
    </xf>
    <xf numFmtId="0" fontId="0" fillId="27" borderId="1" xfId="20" applyFont="1" applyFill="1" applyBorder="1" applyAlignment="1">
      <alignment horizontal="center" vertical="center"/>
      <protection/>
    </xf>
    <xf numFmtId="168" fontId="0" fillId="27" borderId="1" xfId="20" applyNumberFormat="1" applyFont="1" applyFill="1" applyBorder="1" applyAlignment="1">
      <alignment horizontal="center" vertical="center"/>
      <protection/>
    </xf>
    <xf numFmtId="0" fontId="0" fillId="18" borderId="1" xfId="20" applyFont="1" applyFill="1" applyBorder="1" applyAlignment="1">
      <alignment horizontal="center" vertical="center"/>
      <protection/>
    </xf>
    <xf numFmtId="169" fontId="0" fillId="18" borderId="1" xfId="20" applyNumberFormat="1" applyFont="1" applyFill="1" applyBorder="1" applyAlignment="1">
      <alignment vertical="center"/>
      <protection/>
    </xf>
    <xf numFmtId="169" fontId="0" fillId="0" borderId="1" xfId="20" applyNumberFormat="1" applyFont="1" applyFill="1" applyBorder="1" applyAlignment="1">
      <alignment vertical="center"/>
      <protection/>
    </xf>
    <xf numFmtId="171" fontId="0" fillId="9" borderId="1" xfId="20" applyNumberFormat="1" applyFont="1" applyFill="1" applyBorder="1" applyAlignment="1">
      <alignment horizontal="right" vertical="center"/>
      <protection/>
    </xf>
    <xf numFmtId="169" fontId="7" fillId="24" borderId="1" xfId="20" applyNumberFormat="1" applyFont="1" applyFill="1" applyBorder="1" applyAlignment="1">
      <alignment vertical="center"/>
      <protection/>
    </xf>
    <xf numFmtId="164" fontId="3" fillId="0" borderId="1" xfId="20" applyNumberFormat="1" applyFont="1" applyBorder="1" applyAlignment="1">
      <alignment horizontal="right" vertical="center"/>
      <protection/>
    </xf>
    <xf numFmtId="169" fontId="15" fillId="13" borderId="1" xfId="23" applyNumberFormat="1" applyFont="1" applyFill="1" applyBorder="1" applyAlignment="1">
      <alignment horizontal="right" vertical="center"/>
      <protection/>
    </xf>
    <xf numFmtId="0" fontId="0" fillId="9" borderId="3" xfId="20" applyFont="1" applyFill="1" applyBorder="1" applyAlignment="1">
      <alignment horizontal="left" vertical="center" wrapText="1"/>
      <protection/>
    </xf>
    <xf numFmtId="0" fontId="0" fillId="9" borderId="2" xfId="20" applyFont="1" applyFill="1" applyBorder="1" applyAlignment="1">
      <alignment horizontal="left" vertical="center" wrapText="1"/>
      <protection/>
    </xf>
    <xf numFmtId="169" fontId="6" fillId="9" borderId="0" xfId="20" applyNumberFormat="1" applyFont="1" applyFill="1" applyBorder="1" applyAlignment="1">
      <alignment horizontal="right" vertical="center"/>
      <protection/>
    </xf>
    <xf numFmtId="0" fontId="9" fillId="0" borderId="0" xfId="20" applyFont="1" applyAlignment="1">
      <alignment horizontal="center" vertical="center" wrapText="1"/>
      <protection/>
    </xf>
    <xf numFmtId="0" fontId="15" fillId="0" borderId="0" xfId="23" applyFont="1" applyAlignment="1">
      <alignment wrapText="1"/>
      <protection/>
    </xf>
    <xf numFmtId="0" fontId="3" fillId="0" borderId="0" xfId="23" applyFont="1" applyAlignment="1">
      <alignment wrapText="1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0" xfId="23" applyFont="1" applyAlignment="1">
      <alignment wrapText="1"/>
      <protection/>
    </xf>
    <xf numFmtId="0" fontId="2" fillId="0" borderId="0" xfId="0" applyFont="1" applyAlignment="1">
      <alignment wrapText="1"/>
    </xf>
    <xf numFmtId="0" fontId="14" fillId="0" borderId="0" xfId="23" applyFont="1" applyAlignment="1">
      <alignment wrapText="1"/>
      <protection/>
    </xf>
    <xf numFmtId="0" fontId="16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7" fillId="0" borderId="0" xfId="20" applyFont="1" applyAlignment="1">
      <alignment horizontal="left" vertical="center" wrapText="1"/>
      <protection/>
    </xf>
    <xf numFmtId="0" fontId="2" fillId="0" borderId="0" xfId="20" applyFont="1" applyAlignment="1">
      <alignment wrapText="1"/>
      <protection/>
    </xf>
    <xf numFmtId="0" fontId="3" fillId="0" borderId="0" xfId="20" applyFont="1" applyAlignment="1">
      <alignment wrapText="1"/>
      <protection/>
    </xf>
    <xf numFmtId="0" fontId="13" fillId="0" borderId="0" xfId="23" applyFont="1" applyAlignment="1">
      <alignment wrapText="1"/>
      <protection/>
    </xf>
    <xf numFmtId="0" fontId="13" fillId="0" borderId="0" xfId="0" applyFont="1" applyAlignment="1">
      <alignment wrapText="1"/>
    </xf>
    <xf numFmtId="0" fontId="13" fillId="0" borderId="0" xfId="20" applyFont="1" applyAlignment="1">
      <alignment vertical="center" wrapText="1"/>
      <protection/>
    </xf>
    <xf numFmtId="0" fontId="2" fillId="0" borderId="0" xfId="20" applyFont="1" applyAlignment="1">
      <alignment vertical="center" wrapText="1"/>
      <protection/>
    </xf>
    <xf numFmtId="0" fontId="18" fillId="0" borderId="0" xfId="23" applyFont="1" applyAlignment="1" applyProtection="1">
      <alignment horizontal="left" vertical="center" wrapText="1"/>
      <protection locked="0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3" borderId="1" xfId="20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0" fillId="9" borderId="3" xfId="20" applyFont="1" applyFill="1" applyBorder="1" applyAlignment="1">
      <alignment horizontal="left" vertical="center" wrapText="1"/>
      <protection/>
    </xf>
    <xf numFmtId="0" fontId="0" fillId="9" borderId="2" xfId="20" applyFont="1" applyFill="1" applyBorder="1" applyAlignment="1">
      <alignment horizontal="left" vertical="center" wrapText="1"/>
      <protection/>
    </xf>
    <xf numFmtId="0" fontId="2" fillId="3" borderId="1" xfId="20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7" fillId="9" borderId="1" xfId="20" applyFont="1" applyFill="1" applyBorder="1" applyAlignment="1">
      <alignment vertical="center"/>
      <protection/>
    </xf>
    <xf numFmtId="0" fontId="0" fillId="0" borderId="1" xfId="20" applyFont="1" applyFill="1" applyBorder="1" applyAlignment="1">
      <alignment horizontal="left" vertical="center" wrapText="1"/>
      <protection/>
    </xf>
    <xf numFmtId="0" fontId="0" fillId="0" borderId="1" xfId="20" applyFont="1" applyFill="1" applyBorder="1" applyAlignment="1">
      <alignment horizontal="left" vertical="center" wrapText="1"/>
      <protection/>
    </xf>
    <xf numFmtId="0" fontId="0" fillId="0" borderId="1" xfId="20" applyFont="1" applyFill="1" applyBorder="1" applyAlignment="1">
      <alignment vertical="center" wrapText="1"/>
      <protection/>
    </xf>
    <xf numFmtId="0" fontId="0" fillId="0" borderId="1" xfId="20" applyFont="1" applyFill="1" applyBorder="1" applyAlignment="1">
      <alignment vertical="center" wrapText="1"/>
      <protection/>
    </xf>
    <xf numFmtId="0" fontId="7" fillId="26" borderId="3" xfId="0" applyFont="1" applyFill="1" applyBorder="1" applyAlignment="1">
      <alignment horizontal="left" vertical="center"/>
    </xf>
    <xf numFmtId="0" fontId="7" fillId="26" borderId="8" xfId="0" applyFont="1" applyFill="1" applyBorder="1" applyAlignment="1">
      <alignment horizontal="left" vertical="center"/>
    </xf>
    <xf numFmtId="0" fontId="7" fillId="26" borderId="2" xfId="0" applyFont="1" applyFill="1" applyBorder="1" applyAlignment="1">
      <alignment horizontal="left" vertical="center"/>
    </xf>
    <xf numFmtId="0" fontId="7" fillId="26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14" borderId="1" xfId="20" applyFont="1" applyFill="1" applyBorder="1" applyAlignment="1">
      <alignment horizontal="center" vertical="center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/>
      <protection/>
    </xf>
    <xf numFmtId="0" fontId="7" fillId="14" borderId="6" xfId="20" applyFont="1" applyFill="1" applyBorder="1" applyAlignment="1">
      <alignment horizontal="center" vertical="center"/>
      <protection/>
    </xf>
    <xf numFmtId="0" fontId="7" fillId="14" borderId="9" xfId="20" applyFont="1" applyFill="1" applyBorder="1" applyAlignment="1">
      <alignment horizontal="center" vertical="center"/>
      <protection/>
    </xf>
    <xf numFmtId="164" fontId="5" fillId="0" borderId="1" xfId="20" applyNumberFormat="1" applyFont="1" applyFill="1" applyBorder="1" applyAlignment="1">
      <alignment horizontal="center" vertical="center" wrapText="1"/>
      <protection/>
    </xf>
    <xf numFmtId="169" fontId="5" fillId="0" borderId="1" xfId="20" applyNumberFormat="1" applyFont="1" applyFill="1" applyBorder="1" applyAlignment="1">
      <alignment horizontal="center" vertical="center" wrapText="1"/>
      <protection/>
    </xf>
    <xf numFmtId="0" fontId="0" fillId="9" borderId="1" xfId="20" applyFont="1" applyFill="1" applyBorder="1" applyAlignment="1">
      <alignment horizontal="left" vertical="center" wrapText="1"/>
      <protection/>
    </xf>
    <xf numFmtId="0" fontId="0" fillId="9" borderId="1" xfId="20" applyFill="1" applyBorder="1" applyAlignment="1">
      <alignment horizontal="left"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8" fillId="5" borderId="1" xfId="20" applyFont="1" applyFill="1" applyBorder="1" applyAlignment="1">
      <alignment horizontal="left" vertical="center"/>
      <protection/>
    </xf>
    <xf numFmtId="0" fontId="7" fillId="29" borderId="1" xfId="0" applyFont="1" applyFill="1" applyBorder="1" applyAlignment="1">
      <alignment horizontal="left" vertical="center"/>
    </xf>
    <xf numFmtId="0" fontId="0" fillId="0" borderId="1" xfId="20" applyFont="1" applyBorder="1" applyAlignment="1">
      <alignment horizontal="left" vertical="center" wrapText="1"/>
      <protection/>
    </xf>
    <xf numFmtId="0" fontId="0" fillId="9" borderId="1" xfId="20" applyFont="1" applyFill="1" applyBorder="1" applyAlignment="1">
      <alignment vertical="center" wrapText="1"/>
      <protection/>
    </xf>
    <xf numFmtId="0" fontId="0" fillId="9" borderId="1" xfId="20" applyFont="1" applyFill="1" applyBorder="1" applyAlignment="1">
      <alignment vertical="center" wrapText="1"/>
      <protection/>
    </xf>
    <xf numFmtId="0" fontId="6" fillId="9" borderId="1" xfId="20" applyFont="1" applyFill="1" applyBorder="1" applyAlignment="1">
      <alignment vertical="center" wrapText="1"/>
      <protection/>
    </xf>
    <xf numFmtId="0" fontId="0" fillId="0" borderId="3" xfId="20" applyFont="1" applyFill="1" applyBorder="1" applyAlignment="1">
      <alignment horizontal="left" vertical="center" wrapText="1"/>
      <protection/>
    </xf>
    <xf numFmtId="0" fontId="0" fillId="0" borderId="2" xfId="20" applyFont="1" applyFill="1" applyBorder="1" applyAlignment="1">
      <alignment horizontal="left" vertical="center" wrapText="1"/>
      <protection/>
    </xf>
    <xf numFmtId="0" fontId="0" fillId="0" borderId="1" xfId="20" applyBorder="1" applyAlignment="1">
      <alignment horizontal="left" vertical="center" wrapText="1"/>
      <protection/>
    </xf>
    <xf numFmtId="0" fontId="0" fillId="0" borderId="1" xfId="20" applyFont="1" applyBorder="1" applyAlignment="1">
      <alignment horizontal="left" vertical="center" wrapText="1"/>
      <protection/>
    </xf>
    <xf numFmtId="0" fontId="6" fillId="0" borderId="1" xfId="20" applyFont="1" applyFill="1" applyBorder="1" applyAlignment="1">
      <alignment horizontal="left" vertical="center" wrapText="1"/>
      <protection/>
    </xf>
    <xf numFmtId="0" fontId="6" fillId="0" borderId="1" xfId="20" applyFont="1" applyFill="1" applyBorder="1" applyAlignment="1">
      <alignment horizontal="left" vertical="center" wrapText="1"/>
      <protection/>
    </xf>
    <xf numFmtId="0" fontId="0" fillId="0" borderId="1" xfId="20" applyBorder="1" applyAlignment="1">
      <alignment vertical="center" wrapText="1"/>
      <protection/>
    </xf>
    <xf numFmtId="0" fontId="0" fillId="9" borderId="1" xfId="20" applyFont="1" applyFill="1" applyBorder="1" applyAlignment="1">
      <alignment horizontal="left" vertical="center" wrapText="1"/>
      <protection/>
    </xf>
    <xf numFmtId="0" fontId="0" fillId="0" borderId="3" xfId="20" applyFont="1" applyBorder="1" applyAlignment="1">
      <alignment horizontal="left" vertical="center" wrapText="1"/>
      <protection/>
    </xf>
    <xf numFmtId="0" fontId="0" fillId="0" borderId="2" xfId="20" applyFont="1" applyBorder="1" applyAlignment="1">
      <alignment horizontal="left" vertical="center" wrapText="1"/>
      <protection/>
    </xf>
    <xf numFmtId="0" fontId="0" fillId="0" borderId="10" xfId="20" applyFont="1" applyBorder="1" applyAlignment="1">
      <alignment vertical="center" wrapText="1"/>
      <protection/>
    </xf>
    <xf numFmtId="0" fontId="0" fillId="0" borderId="11" xfId="20" applyFont="1" applyBorder="1" applyAlignment="1">
      <alignment vertical="center" wrapText="1"/>
      <protection/>
    </xf>
    <xf numFmtId="0" fontId="7" fillId="12" borderId="1" xfId="20" applyFont="1" applyFill="1" applyBorder="1" applyAlignment="1">
      <alignment horizontal="left" vertical="center" wrapText="1"/>
      <protection/>
    </xf>
    <xf numFmtId="0" fontId="7" fillId="4" borderId="1" xfId="20" applyFont="1" applyFill="1" applyBorder="1" applyAlignment="1">
      <alignment vertical="center" wrapText="1"/>
      <protection/>
    </xf>
    <xf numFmtId="0" fontId="6" fillId="9" borderId="3" xfId="20" applyFont="1" applyFill="1" applyBorder="1" applyAlignment="1">
      <alignment horizontal="left" vertical="center" wrapText="1"/>
      <protection/>
    </xf>
    <xf numFmtId="0" fontId="6" fillId="9" borderId="2" xfId="20" applyFont="1" applyFill="1" applyBorder="1" applyAlignment="1">
      <alignment horizontal="left" vertical="center" wrapText="1"/>
      <protection/>
    </xf>
    <xf numFmtId="0" fontId="7" fillId="8" borderId="1" xfId="20" applyFont="1" applyFill="1" applyBorder="1" applyAlignment="1">
      <alignment vertical="center"/>
      <protection/>
    </xf>
    <xf numFmtId="49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left" vertical="center"/>
      <protection/>
    </xf>
    <xf numFmtId="0" fontId="7" fillId="15" borderId="1" xfId="20" applyFont="1" applyFill="1" applyBorder="1" applyAlignment="1">
      <alignment vertical="center" wrapText="1"/>
      <protection/>
    </xf>
    <xf numFmtId="0" fontId="8" fillId="8" borderId="1" xfId="20" applyFont="1" applyFill="1" applyBorder="1" applyAlignment="1">
      <alignment horizontal="left" vertical="center"/>
      <protection/>
    </xf>
    <xf numFmtId="0" fontId="0" fillId="3" borderId="3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6" fillId="0" borderId="1" xfId="20" applyFont="1" applyBorder="1" applyAlignment="1">
      <alignment horizontal="left" vertical="center" wrapText="1"/>
      <protection/>
    </xf>
    <xf numFmtId="0" fontId="7" fillId="0" borderId="1" xfId="20" applyFont="1" applyFill="1" applyBorder="1" applyAlignment="1">
      <alignment horizontal="left" vertical="center"/>
      <protection/>
    </xf>
    <xf numFmtId="4" fontId="0" fillId="0" borderId="1" xfId="0" applyNumberFormat="1" applyFont="1" applyBorder="1" applyAlignment="1">
      <alignment vertical="center" wrapText="1"/>
    </xf>
    <xf numFmtId="0" fontId="6" fillId="0" borderId="1" xfId="20" applyFont="1" applyFill="1" applyBorder="1" applyAlignment="1">
      <alignment vertical="center" wrapText="1"/>
      <protection/>
    </xf>
    <xf numFmtId="0" fontId="6" fillId="0" borderId="1" xfId="20" applyFont="1" applyFill="1" applyBorder="1" applyAlignment="1">
      <alignment vertical="center" wrapText="1"/>
      <protection/>
    </xf>
    <xf numFmtId="0" fontId="7" fillId="0" borderId="1" xfId="20" applyFont="1" applyFill="1" applyBorder="1" applyAlignment="1">
      <alignment vertical="center"/>
      <protection/>
    </xf>
    <xf numFmtId="0" fontId="0" fillId="3" borderId="1" xfId="20" applyFont="1" applyFill="1" applyBorder="1" applyAlignment="1">
      <alignment horizontal="left" vertical="center" wrapText="1"/>
      <protection/>
    </xf>
    <xf numFmtId="0" fontId="0" fillId="3" borderId="1" xfId="0" applyFont="1" applyFill="1" applyBorder="1" applyAlignment="1">
      <alignment vertical="center" wrapText="1"/>
    </xf>
    <xf numFmtId="0" fontId="7" fillId="15" borderId="1" xfId="20" applyFont="1" applyFill="1" applyBorder="1" applyAlignment="1">
      <alignment horizontal="left" vertical="center" wrapText="1"/>
      <protection/>
    </xf>
    <xf numFmtId="0" fontId="0" fillId="0" borderId="1" xfId="20" applyFont="1" applyBorder="1" applyAlignment="1">
      <alignment vertical="center" wrapText="1"/>
      <protection/>
    </xf>
    <xf numFmtId="0" fontId="3" fillId="21" borderId="3" xfId="23" applyFont="1" applyFill="1" applyBorder="1" applyAlignment="1">
      <alignment horizontal="left" vertical="center"/>
      <protection/>
    </xf>
    <xf numFmtId="0" fontId="3" fillId="21" borderId="8" xfId="23" applyFont="1" applyFill="1" applyBorder="1" applyAlignment="1">
      <alignment horizontal="left" vertical="center"/>
      <protection/>
    </xf>
    <xf numFmtId="0" fontId="3" fillId="22" borderId="3" xfId="23" applyFont="1" applyFill="1" applyBorder="1" applyAlignment="1">
      <alignment horizontal="left" vertical="center"/>
      <protection/>
    </xf>
    <xf numFmtId="0" fontId="3" fillId="22" borderId="8" xfId="23" applyFont="1" applyFill="1" applyBorder="1" applyAlignment="1">
      <alignment horizontal="left" vertical="center"/>
      <protection/>
    </xf>
    <xf numFmtId="0" fontId="8" fillId="16" borderId="3" xfId="20" applyFont="1" applyFill="1" applyBorder="1" applyAlignment="1">
      <alignment horizontal="left" vertical="center"/>
      <protection/>
    </xf>
    <xf numFmtId="0" fontId="8" fillId="16" borderId="8" xfId="20" applyFont="1" applyFill="1" applyBorder="1" applyAlignment="1">
      <alignment horizontal="left" vertical="center"/>
      <protection/>
    </xf>
    <xf numFmtId="0" fontId="8" fillId="16" borderId="2" xfId="20" applyFont="1" applyFill="1" applyBorder="1" applyAlignment="1">
      <alignment horizontal="left" vertical="center"/>
      <protection/>
    </xf>
    <xf numFmtId="0" fontId="3" fillId="10" borderId="3" xfId="23" applyFont="1" applyFill="1" applyBorder="1" applyAlignment="1">
      <alignment horizontal="left" vertical="center"/>
      <protection/>
    </xf>
    <xf numFmtId="0" fontId="3" fillId="10" borderId="8" xfId="23" applyFont="1" applyFill="1" applyBorder="1" applyAlignment="1">
      <alignment horizontal="left" vertical="center"/>
      <protection/>
    </xf>
    <xf numFmtId="0" fontId="3" fillId="23" borderId="3" xfId="20" applyFont="1" applyFill="1" applyBorder="1" applyAlignment="1">
      <alignment horizontal="left" vertical="center"/>
      <protection/>
    </xf>
    <xf numFmtId="0" fontId="3" fillId="23" borderId="8" xfId="20" applyFont="1" applyFill="1" applyBorder="1" applyAlignment="1">
      <alignment horizontal="left" vertical="center"/>
      <protection/>
    </xf>
    <xf numFmtId="0" fontId="7" fillId="24" borderId="1" xfId="20" applyFont="1" applyFill="1" applyBorder="1" applyAlignment="1">
      <alignment horizontal="left" vertical="center" wrapText="1"/>
      <protection/>
    </xf>
    <xf numFmtId="0" fontId="7" fillId="24" borderId="1" xfId="20" applyFont="1" applyFill="1" applyBorder="1" applyAlignment="1">
      <alignment horizontal="left" vertical="center"/>
      <protection/>
    </xf>
    <xf numFmtId="0" fontId="0" fillId="18" borderId="1" xfId="20" applyFont="1" applyFill="1" applyBorder="1" applyAlignment="1">
      <alignment horizontal="left" vertical="center" wrapText="1"/>
      <protection/>
    </xf>
    <xf numFmtId="0" fontId="0" fillId="18" borderId="1" xfId="20" applyFill="1" applyBorder="1" applyAlignment="1">
      <alignment horizontal="left" vertical="center" wrapText="1"/>
      <protection/>
    </xf>
    <xf numFmtId="0" fontId="7" fillId="6" borderId="1" xfId="20" applyFont="1" applyFill="1" applyBorder="1" applyAlignment="1">
      <alignment horizontal="left" vertical="center"/>
      <protection/>
    </xf>
    <xf numFmtId="0" fontId="7" fillId="13" borderId="1" xfId="20" applyFont="1" applyFill="1" applyBorder="1" applyAlignment="1">
      <alignment horizontal="left" vertical="center" wrapText="1"/>
      <protection/>
    </xf>
    <xf numFmtId="0" fontId="0" fillId="0" borderId="3" xfId="20" applyFont="1" applyBorder="1" applyAlignment="1">
      <alignment vertical="center" wrapText="1"/>
      <protection/>
    </xf>
    <xf numFmtId="0" fontId="0" fillId="0" borderId="2" xfId="20" applyBorder="1" applyAlignment="1">
      <alignment vertical="center" wrapText="1"/>
      <protection/>
    </xf>
    <xf numFmtId="0" fontId="7" fillId="12" borderId="1" xfId="20" applyFont="1" applyFill="1" applyBorder="1" applyAlignment="1">
      <alignment vertical="center" wrapText="1"/>
      <protection/>
    </xf>
    <xf numFmtId="0" fontId="0" fillId="0" borderId="3" xfId="20" applyFont="1" applyBorder="1" applyAlignment="1">
      <alignment horizontal="left" vertical="center" wrapText="1"/>
      <protection/>
    </xf>
    <xf numFmtId="0" fontId="0" fillId="0" borderId="2" xfId="20" applyFont="1" applyBorder="1" applyAlignment="1">
      <alignment horizontal="left" vertical="center" wrapText="1"/>
      <protection/>
    </xf>
    <xf numFmtId="0" fontId="15" fillId="13" borderId="1" xfId="23" applyFont="1" applyFill="1" applyBorder="1" applyAlignment="1">
      <alignment horizontal="left" vertical="center"/>
      <protection/>
    </xf>
    <xf numFmtId="0" fontId="7" fillId="9" borderId="8" xfId="20" applyFont="1" applyFill="1" applyBorder="1" applyAlignment="1">
      <alignment horizontal="left" vertical="center"/>
      <protection/>
    </xf>
    <xf numFmtId="0" fontId="7" fillId="9" borderId="2" xfId="20" applyFont="1" applyFill="1" applyBorder="1" applyAlignment="1">
      <alignment horizontal="left" vertical="center"/>
      <protection/>
    </xf>
    <xf numFmtId="0" fontId="0" fillId="17" borderId="1" xfId="20" applyFill="1" applyBorder="1" applyAlignment="1">
      <alignment horizontal="left" vertical="center" wrapText="1"/>
      <protection/>
    </xf>
    <xf numFmtId="0" fontId="0" fillId="28" borderId="1" xfId="20" applyFill="1" applyBorder="1" applyAlignment="1">
      <alignment horizontal="left" vertical="center" wrapText="1"/>
      <protection/>
    </xf>
    <xf numFmtId="0" fontId="0" fillId="28" borderId="1" xfId="20" applyFont="1" applyFill="1" applyBorder="1" applyAlignment="1">
      <alignment horizontal="left" vertical="center" wrapText="1"/>
      <protection/>
    </xf>
    <xf numFmtId="0" fontId="0" fillId="19" borderId="1" xfId="20" applyFont="1" applyFill="1" applyBorder="1" applyAlignment="1">
      <alignment horizontal="left" vertical="center" wrapText="1"/>
      <protection/>
    </xf>
    <xf numFmtId="0" fontId="0" fillId="19" borderId="1" xfId="20" applyFill="1" applyBorder="1" applyAlignment="1">
      <alignment horizontal="left" vertical="center" wrapText="1"/>
      <protection/>
    </xf>
    <xf numFmtId="0" fontId="3" fillId="24" borderId="3" xfId="20" applyFont="1" applyFill="1" applyBorder="1" applyAlignment="1">
      <alignment horizontal="left" vertical="center"/>
      <protection/>
    </xf>
    <xf numFmtId="0" fontId="3" fillId="24" borderId="8" xfId="20" applyFont="1" applyFill="1" applyBorder="1" applyAlignment="1">
      <alignment horizontal="left" vertical="center"/>
      <protection/>
    </xf>
    <xf numFmtId="0" fontId="15" fillId="0" borderId="1" xfId="23" applyFont="1" applyBorder="1" applyAlignment="1">
      <alignment horizontal="left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7" fillId="9" borderId="3" xfId="20" applyFont="1" applyFill="1" applyBorder="1" applyAlignment="1">
      <alignment horizontal="left" vertical="center"/>
      <protection/>
    </xf>
    <xf numFmtId="0" fontId="7" fillId="9" borderId="12" xfId="20" applyFont="1" applyFill="1" applyBorder="1" applyAlignment="1">
      <alignment horizontal="left" vertical="center"/>
      <protection/>
    </xf>
    <xf numFmtId="0" fontId="7" fillId="9" borderId="13" xfId="20" applyFont="1" applyFill="1" applyBorder="1" applyAlignment="1">
      <alignment horizontal="left" vertical="center"/>
      <protection/>
    </xf>
    <xf numFmtId="0" fontId="0" fillId="3" borderId="3" xfId="20" applyFont="1" applyFill="1" applyBorder="1" applyAlignment="1">
      <alignment horizontal="left" vertical="center" wrapText="1"/>
      <protection/>
    </xf>
    <xf numFmtId="0" fontId="0" fillId="3" borderId="2" xfId="20" applyFont="1" applyFill="1" applyBorder="1" applyAlignment="1">
      <alignment horizontal="left" vertical="center" wrapText="1"/>
      <protection/>
    </xf>
    <xf numFmtId="0" fontId="0" fillId="27" borderId="1" xfId="20" applyFill="1" applyBorder="1" applyAlignment="1">
      <alignment horizontal="left" vertical="center" wrapText="1"/>
      <protection/>
    </xf>
    <xf numFmtId="0" fontId="0" fillId="0" borderId="1" xfId="20" applyFont="1" applyBorder="1" applyAlignment="1">
      <alignment vertical="center" wrapText="1"/>
      <protection/>
    </xf>
    <xf numFmtId="0" fontId="0" fillId="3" borderId="1" xfId="20" applyFont="1" applyFill="1" applyBorder="1" applyAlignment="1">
      <alignment horizontal="left" vertical="center" wrapText="1"/>
      <protection/>
    </xf>
    <xf numFmtId="4" fontId="6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3" borderId="1" xfId="20" applyNumberFormat="1" applyFont="1" applyFill="1" applyBorder="1" applyAlignment="1">
      <alignment horizontal="center" vertical="center"/>
      <protection/>
    </xf>
    <xf numFmtId="0" fontId="2" fillId="9" borderId="1" xfId="20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10" xfId="21"/>
    <cellStyle name="Normální 2" xfId="22"/>
    <cellStyle name="Normal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CE\2020\Beroun_Ko&#353;&#357;&#225;lkova\DPS%20ETAPA%20I\Beroun_rozpocet_URS_ETAPA_I_25_02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last u grillů"/>
    </sheetNames>
    <sheetDataSet>
      <sheetData sheetId="0">
        <row r="60">
          <cell r="E60">
            <v>219</v>
          </cell>
        </row>
        <row r="62">
          <cell r="E62">
            <v>205</v>
          </cell>
        </row>
        <row r="63">
          <cell r="E63">
            <v>312</v>
          </cell>
        </row>
        <row r="69">
          <cell r="E69">
            <v>20</v>
          </cell>
        </row>
        <row r="70">
          <cell r="E70">
            <v>48</v>
          </cell>
        </row>
        <row r="71">
          <cell r="E71">
            <v>30</v>
          </cell>
        </row>
        <row r="73">
          <cell r="E73">
            <v>40</v>
          </cell>
        </row>
        <row r="74">
          <cell r="E74">
            <v>74</v>
          </cell>
        </row>
        <row r="75">
          <cell r="E75">
            <v>30</v>
          </cell>
        </row>
        <row r="76">
          <cell r="E76">
            <v>89</v>
          </cell>
        </row>
        <row r="77">
          <cell r="E77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E280"/>
  <sheetViews>
    <sheetView tabSelected="1" view="pageBreakPreview" zoomScale="75" zoomScaleSheetLayoutView="75" workbookViewId="0" topLeftCell="A205">
      <selection activeCell="B283" sqref="B283"/>
    </sheetView>
  </sheetViews>
  <sheetFormatPr defaultColWidth="9.140625" defaultRowHeight="12.75"/>
  <cols>
    <col min="1" max="1" width="14.140625" style="3" customWidth="1"/>
    <col min="2" max="2" width="47.140625" style="270" customWidth="1"/>
    <col min="3" max="3" width="62.57421875" style="270" customWidth="1"/>
    <col min="4" max="4" width="14.00390625" style="15" customWidth="1"/>
    <col min="5" max="5" width="13.140625" style="3" customWidth="1"/>
    <col min="6" max="6" width="19.8515625" style="4" customWidth="1"/>
    <col min="7" max="7" width="21.28125" style="75" customWidth="1"/>
    <col min="8" max="8" width="9.140625" style="58" customWidth="1"/>
    <col min="9" max="9" width="15.7109375" style="58" customWidth="1"/>
    <col min="10" max="102" width="9.140625" style="87" customWidth="1"/>
    <col min="103" max="16384" width="9.140625" style="2" customWidth="1"/>
  </cols>
  <sheetData>
    <row r="1" spans="1:102" ht="24.95" customHeight="1">
      <c r="A1" s="126"/>
      <c r="B1" s="255"/>
      <c r="C1" s="255"/>
      <c r="D1" s="126"/>
      <c r="E1" s="126"/>
      <c r="F1" s="126"/>
      <c r="G1" s="127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2" ht="24.95" customHeight="1">
      <c r="A2" s="126"/>
      <c r="B2" s="255"/>
      <c r="C2" s="255"/>
      <c r="D2" s="126"/>
      <c r="E2" s="126"/>
      <c r="F2" s="126"/>
      <c r="G2" s="127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spans="1:102" ht="24.95" customHeight="1">
      <c r="A3" s="126"/>
      <c r="B3" s="256" t="s">
        <v>84</v>
      </c>
      <c r="C3" s="257" t="s">
        <v>312</v>
      </c>
      <c r="D3" s="144"/>
      <c r="E3" s="144"/>
      <c r="F3" s="144"/>
      <c r="G3" s="129"/>
      <c r="H3" s="128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</row>
    <row r="4" spans="1:102" ht="24.95" customHeight="1">
      <c r="A4" s="126"/>
      <c r="B4" s="258"/>
      <c r="C4" s="258"/>
      <c r="D4" s="130"/>
      <c r="E4" s="130"/>
      <c r="F4" s="130"/>
      <c r="G4" s="127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</row>
    <row r="5" spans="1:102" ht="24.95" customHeight="1">
      <c r="A5" s="126"/>
      <c r="B5" s="256" t="s">
        <v>85</v>
      </c>
      <c r="C5" s="259" t="s">
        <v>150</v>
      </c>
      <c r="D5" s="144"/>
      <c r="E5" s="144"/>
      <c r="F5" s="144"/>
      <c r="G5" s="129"/>
      <c r="H5" s="128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1:102" ht="24.95" customHeight="1">
      <c r="A6" s="126"/>
      <c r="B6" s="258"/>
      <c r="C6" s="258"/>
      <c r="D6" s="130"/>
      <c r="E6" s="130"/>
      <c r="F6" s="130"/>
      <c r="G6" s="127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</row>
    <row r="7" spans="1:102" ht="24.95" customHeight="1">
      <c r="A7" s="126"/>
      <c r="B7" s="256" t="s">
        <v>86</v>
      </c>
      <c r="C7" s="260" t="s">
        <v>146</v>
      </c>
      <c r="D7" s="144"/>
      <c r="E7" s="183" t="s">
        <v>87</v>
      </c>
      <c r="F7" s="184" t="s">
        <v>149</v>
      </c>
      <c r="G7" s="129"/>
      <c r="H7" s="128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</row>
    <row r="8" spans="1:102" ht="24.95" customHeight="1">
      <c r="A8" s="126"/>
      <c r="B8" s="261"/>
      <c r="C8" s="260" t="s">
        <v>147</v>
      </c>
      <c r="D8" s="144"/>
      <c r="E8" s="144"/>
      <c r="F8" s="144"/>
      <c r="G8" s="129"/>
      <c r="H8" s="128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</row>
    <row r="9" spans="1:102" ht="24.95" customHeight="1">
      <c r="A9" s="126"/>
      <c r="B9" s="261"/>
      <c r="C9" s="260" t="s">
        <v>148</v>
      </c>
      <c r="D9" s="144"/>
      <c r="E9" s="144"/>
      <c r="F9" s="144"/>
      <c r="G9" s="129"/>
      <c r="H9" s="128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</row>
    <row r="10" spans="1:102" ht="24.95" customHeight="1">
      <c r="A10" s="126"/>
      <c r="B10" s="261"/>
      <c r="C10" s="259"/>
      <c r="D10" s="144"/>
      <c r="E10" s="144"/>
      <c r="F10" s="144"/>
      <c r="G10" s="129"/>
      <c r="H10" s="128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</row>
    <row r="11" spans="1:102" ht="24.95" customHeight="1">
      <c r="A11" s="126"/>
      <c r="B11" s="258"/>
      <c r="C11" s="258"/>
      <c r="D11" s="130"/>
      <c r="E11" s="130"/>
      <c r="F11" s="130"/>
      <c r="G11" s="127"/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</row>
    <row r="12" spans="1:102" ht="24.95" customHeight="1">
      <c r="A12" s="126"/>
      <c r="B12" s="256" t="s">
        <v>88</v>
      </c>
      <c r="C12" s="259"/>
      <c r="D12" s="144"/>
      <c r="E12" s="144"/>
      <c r="F12" s="144"/>
      <c r="G12" s="129"/>
      <c r="H12" s="128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</row>
    <row r="13" spans="1:102" ht="24.95" customHeight="1">
      <c r="A13" s="126"/>
      <c r="B13" s="258"/>
      <c r="C13" s="258"/>
      <c r="D13" s="130"/>
      <c r="E13" s="130"/>
      <c r="F13" s="130"/>
      <c r="G13" s="127"/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</row>
    <row r="14" spans="1:102" ht="24.95" customHeight="1">
      <c r="A14" s="126"/>
      <c r="B14" s="258"/>
      <c r="C14" s="258"/>
      <c r="D14" s="130"/>
      <c r="E14" s="130"/>
      <c r="F14" s="130"/>
      <c r="G14" s="127"/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</row>
    <row r="15" spans="1:102" ht="24.95" customHeight="1">
      <c r="A15" s="126"/>
      <c r="B15" s="258"/>
      <c r="C15" s="258"/>
      <c r="D15" s="130"/>
      <c r="E15" s="130"/>
      <c r="F15" s="130"/>
      <c r="G15" s="127"/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</row>
    <row r="16" spans="1:102" ht="24.95" customHeight="1">
      <c r="A16" s="126"/>
      <c r="B16" s="258"/>
      <c r="C16" s="258"/>
      <c r="D16" s="130"/>
      <c r="E16" s="130"/>
      <c r="F16" s="130"/>
      <c r="G16" s="127"/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</row>
    <row r="17" spans="1:102" ht="24.95" customHeight="1">
      <c r="A17" s="126"/>
      <c r="B17" s="258"/>
      <c r="C17" s="258"/>
      <c r="D17" s="130"/>
      <c r="E17" s="130"/>
      <c r="F17" s="130"/>
      <c r="G17" s="127"/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</row>
    <row r="18" spans="1:102" ht="24.95" customHeight="1">
      <c r="A18" s="126"/>
      <c r="B18" s="256" t="s">
        <v>89</v>
      </c>
      <c r="C18" s="261" t="s">
        <v>90</v>
      </c>
      <c r="D18" s="128"/>
      <c r="E18" s="128"/>
      <c r="F18" s="128"/>
      <c r="G18" s="129"/>
      <c r="H18" s="128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</row>
    <row r="19" spans="1:102" ht="24.95" customHeight="1">
      <c r="A19" s="126"/>
      <c r="B19" s="261"/>
      <c r="C19" s="261" t="s">
        <v>91</v>
      </c>
      <c r="D19" s="128"/>
      <c r="E19" s="128"/>
      <c r="F19" s="128"/>
      <c r="G19" s="129"/>
      <c r="H19" s="128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</row>
    <row r="20" spans="1:102" ht="24.95" customHeight="1">
      <c r="A20" s="126"/>
      <c r="B20" s="261"/>
      <c r="C20" s="261" t="s">
        <v>92</v>
      </c>
      <c r="D20" s="128"/>
      <c r="E20" s="128"/>
      <c r="F20" s="128"/>
      <c r="G20" s="129"/>
      <c r="H20" s="128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</row>
    <row r="21" spans="1:102" ht="24.95" customHeight="1">
      <c r="A21" s="126"/>
      <c r="B21" s="261"/>
      <c r="C21" s="261" t="s">
        <v>93</v>
      </c>
      <c r="D21" s="128"/>
      <c r="E21" s="128"/>
      <c r="F21" s="128"/>
      <c r="G21" s="129"/>
      <c r="H21" s="128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</row>
    <row r="22" spans="1:102" ht="24.95" customHeight="1">
      <c r="A22" s="126"/>
      <c r="B22" s="261"/>
      <c r="C22" s="261" t="s">
        <v>94</v>
      </c>
      <c r="D22" s="128"/>
      <c r="E22" s="128"/>
      <c r="F22" s="128"/>
      <c r="G22" s="129"/>
      <c r="H22" s="128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</row>
    <row r="23" spans="1:102" ht="24.95" customHeight="1">
      <c r="A23" s="126"/>
      <c r="B23" s="258"/>
      <c r="C23" s="258"/>
      <c r="D23" s="130"/>
      <c r="E23" s="130"/>
      <c r="F23" s="130"/>
      <c r="G23" s="127"/>
      <c r="H23" s="1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</row>
    <row r="24" spans="1:102" ht="24.95" customHeight="1">
      <c r="A24" s="126"/>
      <c r="B24" s="256" t="s">
        <v>95</v>
      </c>
      <c r="C24" s="259" t="s">
        <v>96</v>
      </c>
      <c r="D24" s="130"/>
      <c r="E24" s="130"/>
      <c r="F24" s="130"/>
      <c r="G24" s="127"/>
      <c r="H24" s="1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</row>
    <row r="25" spans="1:102" ht="24.95" customHeight="1">
      <c r="A25" s="126"/>
      <c r="B25" s="258"/>
      <c r="C25" s="258"/>
      <c r="D25" s="130"/>
      <c r="E25" s="130"/>
      <c r="F25" s="130"/>
      <c r="G25" s="127"/>
      <c r="H25" s="1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</row>
    <row r="26" spans="1:102" ht="24.95" customHeight="1">
      <c r="A26" s="126"/>
      <c r="B26" s="258"/>
      <c r="C26" s="258"/>
      <c r="D26" s="130"/>
      <c r="E26" s="130"/>
      <c r="F26" s="130"/>
      <c r="G26" s="127"/>
      <c r="H26" s="1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</row>
    <row r="27" spans="1:102" ht="24.95" customHeight="1">
      <c r="A27" s="126"/>
      <c r="B27" s="258"/>
      <c r="C27" s="258"/>
      <c r="D27" s="130"/>
      <c r="E27" s="130"/>
      <c r="F27" s="130"/>
      <c r="G27" s="127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</row>
    <row r="28" spans="1:102" ht="24.95" customHeight="1">
      <c r="A28" s="126"/>
      <c r="B28" s="262"/>
      <c r="C28" s="263"/>
      <c r="D28" s="131"/>
      <c r="E28" s="133"/>
      <c r="F28" s="132"/>
      <c r="G28" s="134"/>
      <c r="H28" s="128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</row>
    <row r="29" spans="1:102" ht="35.1" customHeight="1">
      <c r="A29" s="135"/>
      <c r="B29" s="363" t="s">
        <v>97</v>
      </c>
      <c r="C29" s="363"/>
      <c r="D29" s="363"/>
      <c r="E29" s="363"/>
      <c r="F29" s="137">
        <f>SUM(F54)</f>
        <v>0</v>
      </c>
      <c r="G29" s="134"/>
      <c r="H29" s="128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</row>
    <row r="30" spans="1:102" ht="26.25" customHeight="1">
      <c r="A30" s="138"/>
      <c r="B30" s="264"/>
      <c r="C30" s="264"/>
      <c r="D30" s="139"/>
      <c r="E30" s="139"/>
      <c r="F30" s="139"/>
      <c r="G30" s="140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2" ht="24.95" customHeight="1">
      <c r="A31" s="141"/>
      <c r="B31" s="265"/>
      <c r="C31" s="265"/>
      <c r="D31" s="2"/>
      <c r="E31" s="2"/>
      <c r="F31" s="2"/>
      <c r="G31" s="142"/>
      <c r="H31" s="136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2" ht="24.95" customHeight="1">
      <c r="A32" s="126"/>
      <c r="B32" s="255"/>
      <c r="C32" s="255"/>
      <c r="D32" s="126"/>
      <c r="E32" s="126"/>
      <c r="F32" s="126"/>
      <c r="G32" s="127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2" ht="24.95" customHeight="1">
      <c r="A33" s="126"/>
      <c r="B33" s="255"/>
      <c r="C33" s="255"/>
      <c r="D33" s="126"/>
      <c r="E33" s="126"/>
      <c r="F33" s="126"/>
      <c r="G33" s="127"/>
      <c r="H33" s="1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2" ht="24.95" customHeight="1">
      <c r="A34" s="126"/>
      <c r="B34" s="261" t="s">
        <v>84</v>
      </c>
      <c r="C34" s="257" t="s">
        <v>312</v>
      </c>
      <c r="D34" s="128"/>
      <c r="E34" s="128"/>
      <c r="F34" s="128"/>
      <c r="G34" s="129"/>
      <c r="H34" s="128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2" ht="24.95" customHeight="1">
      <c r="A35" s="126"/>
      <c r="B35" s="255"/>
      <c r="C35" s="255"/>
      <c r="D35" s="126"/>
      <c r="E35" s="126"/>
      <c r="F35" s="126"/>
      <c r="G35" s="127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2" ht="24.95" customHeight="1">
      <c r="A36" s="126"/>
      <c r="B36" s="266" t="s">
        <v>98</v>
      </c>
      <c r="C36" s="261"/>
      <c r="D36" s="128"/>
      <c r="E36" s="128"/>
      <c r="F36" s="128"/>
      <c r="G36" s="129"/>
      <c r="H36" s="128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2" ht="24.95" customHeight="1">
      <c r="A37" s="126"/>
      <c r="B37" s="255"/>
      <c r="C37" s="255"/>
      <c r="D37" s="126"/>
      <c r="E37" s="126"/>
      <c r="F37" s="126"/>
      <c r="G37" s="127"/>
      <c r="H37" s="1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2" ht="24.95" customHeight="1">
      <c r="A38" s="126"/>
      <c r="B38" s="341" t="s">
        <v>0</v>
      </c>
      <c r="C38" s="342"/>
      <c r="D38" s="342"/>
      <c r="E38" s="342"/>
      <c r="F38" s="155">
        <f>SUM(G123)</f>
        <v>0</v>
      </c>
      <c r="G38" s="143"/>
      <c r="H38" s="144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9" s="34" customFormat="1" ht="24.95" customHeight="1">
      <c r="A39" s="145"/>
      <c r="B39" s="267"/>
      <c r="C39" s="268"/>
      <c r="D39" s="146"/>
      <c r="E39" s="146"/>
      <c r="F39" s="146"/>
      <c r="G39" s="147"/>
      <c r="H39" s="146"/>
      <c r="I39" s="148"/>
    </row>
    <row r="40" spans="1:102" ht="24.95" customHeight="1">
      <c r="A40" s="126"/>
      <c r="B40" s="343" t="s">
        <v>48</v>
      </c>
      <c r="C40" s="344"/>
      <c r="D40" s="344"/>
      <c r="E40" s="344"/>
      <c r="F40" s="156">
        <f>SUM(G203)</f>
        <v>0</v>
      </c>
      <c r="G40" s="143"/>
      <c r="H40" s="144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9" s="34" customFormat="1" ht="24.95" customHeight="1">
      <c r="A41" s="145"/>
      <c r="B41" s="267"/>
      <c r="C41" s="267"/>
      <c r="D41" s="146"/>
      <c r="E41" s="146"/>
      <c r="F41" s="146"/>
      <c r="G41" s="147"/>
      <c r="H41" s="146"/>
      <c r="I41" s="148"/>
    </row>
    <row r="42" spans="1:102" ht="24.95" customHeight="1">
      <c r="A42" s="126"/>
      <c r="B42" s="348" t="s">
        <v>307</v>
      </c>
      <c r="C42" s="349"/>
      <c r="D42" s="349"/>
      <c r="E42" s="349"/>
      <c r="F42" s="158">
        <f>SUM(G229)</f>
        <v>0</v>
      </c>
      <c r="G42" s="127"/>
      <c r="H42" s="1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9" s="34" customFormat="1" ht="24.95" customHeight="1">
      <c r="A43" s="145"/>
      <c r="B43" s="267"/>
      <c r="C43" s="267"/>
      <c r="D43" s="146"/>
      <c r="E43" s="146"/>
      <c r="F43" s="146"/>
      <c r="G43" s="147"/>
      <c r="H43" s="146"/>
      <c r="I43" s="148"/>
    </row>
    <row r="44" spans="1:102" ht="24.95" customHeight="1">
      <c r="A44" s="126"/>
      <c r="B44" s="350" t="s">
        <v>103</v>
      </c>
      <c r="C44" s="351"/>
      <c r="D44" s="351"/>
      <c r="E44" s="351"/>
      <c r="F44" s="159">
        <f>SUM(G268)</f>
        <v>0</v>
      </c>
      <c r="G44" s="127"/>
      <c r="H44" s="1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2" ht="24.95" customHeight="1">
      <c r="A45" s="126"/>
      <c r="B45" s="259"/>
      <c r="C45" s="259"/>
      <c r="D45" s="144"/>
      <c r="E45" s="144"/>
      <c r="F45" s="144"/>
      <c r="G45" s="143"/>
      <c r="H45" s="144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2" ht="24.95" customHeight="1">
      <c r="A46" s="126"/>
      <c r="B46" s="371" t="s">
        <v>110</v>
      </c>
      <c r="C46" s="372"/>
      <c r="D46" s="372"/>
      <c r="E46" s="372"/>
      <c r="F46" s="170">
        <f>SUM(G280)</f>
        <v>0</v>
      </c>
      <c r="G46" s="127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9" s="34" customFormat="1" ht="24.95" customHeight="1">
      <c r="A47" s="145"/>
      <c r="B47" s="269"/>
      <c r="C47" s="269"/>
      <c r="D47" s="149"/>
      <c r="E47" s="150"/>
      <c r="F47" s="151"/>
      <c r="G47" s="152"/>
      <c r="H47" s="148"/>
      <c r="I47" s="148"/>
    </row>
    <row r="48" spans="1:9" s="34" customFormat="1" ht="24.95" customHeight="1">
      <c r="A48" s="145"/>
      <c r="B48" s="374" t="s">
        <v>111</v>
      </c>
      <c r="C48" s="374"/>
      <c r="D48" s="374"/>
      <c r="E48" s="374"/>
      <c r="F48" s="250">
        <v>0</v>
      </c>
      <c r="G48" s="152"/>
      <c r="H48" s="148"/>
      <c r="I48" s="148"/>
    </row>
    <row r="49" spans="1:102" ht="24.95" customHeight="1">
      <c r="A49" s="126"/>
      <c r="D49" s="141"/>
      <c r="G49" s="127"/>
      <c r="H49" s="1"/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7" s="1" customFormat="1" ht="24.95" customHeight="1">
      <c r="A50" s="126"/>
      <c r="B50" s="373" t="s">
        <v>99</v>
      </c>
      <c r="C50" s="373"/>
      <c r="D50" s="373"/>
      <c r="E50" s="373"/>
      <c r="F50" s="250">
        <f>SUM(F38,F40,F42,F44,F46,F48)</f>
        <v>0</v>
      </c>
      <c r="G50" s="127"/>
    </row>
    <row r="51" spans="1:102" ht="24.95" customHeight="1">
      <c r="A51" s="126"/>
      <c r="B51" s="255"/>
      <c r="C51" s="255"/>
      <c r="D51" s="126"/>
      <c r="E51" s="126"/>
      <c r="F51" s="126"/>
      <c r="G51" s="129"/>
      <c r="H51" s="128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8" s="1" customFormat="1" ht="24.95" customHeight="1">
      <c r="A52" s="126"/>
      <c r="B52" s="373" t="s">
        <v>100</v>
      </c>
      <c r="C52" s="373"/>
      <c r="D52" s="373"/>
      <c r="E52" s="373"/>
      <c r="F52" s="250">
        <f>F50*1.21-F50</f>
        <v>0</v>
      </c>
      <c r="G52" s="171"/>
      <c r="H52" s="172"/>
    </row>
    <row r="53" spans="1:102" ht="24.95" customHeight="1">
      <c r="A53" s="126"/>
      <c r="B53" s="255"/>
      <c r="C53" s="255"/>
      <c r="D53" s="126"/>
      <c r="E53" s="126"/>
      <c r="F53" s="126"/>
      <c r="G53" s="129"/>
      <c r="H53" s="128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2" ht="24.95" customHeight="1">
      <c r="A54" s="126"/>
      <c r="B54" s="363" t="s">
        <v>101</v>
      </c>
      <c r="C54" s="363"/>
      <c r="D54" s="363"/>
      <c r="E54" s="363"/>
      <c r="F54" s="251">
        <f>F50*1.21</f>
        <v>0</v>
      </c>
      <c r="G54" s="129"/>
      <c r="H54" s="128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2" ht="24.95" customHeight="1">
      <c r="A55" s="126"/>
      <c r="B55" s="261"/>
      <c r="C55" s="261"/>
      <c r="D55" s="128"/>
      <c r="E55" s="128"/>
      <c r="F55" s="128"/>
      <c r="G55" s="129"/>
      <c r="H55" s="128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1:102" ht="24.95" customHeight="1">
      <c r="A56" s="126"/>
      <c r="B56" s="271"/>
      <c r="C56" s="263"/>
      <c r="D56" s="153"/>
      <c r="E56" s="154"/>
      <c r="F56" s="132"/>
      <c r="G56" s="134"/>
      <c r="H56" s="128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1:102" ht="35.1" customHeight="1">
      <c r="A57" s="135"/>
      <c r="B57" s="265"/>
      <c r="C57" s="265"/>
      <c r="D57" s="2"/>
      <c r="E57" s="2"/>
      <c r="F57" s="2"/>
      <c r="G57" s="134"/>
      <c r="H57" s="128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1:102" ht="26.25" customHeight="1">
      <c r="A58" s="138"/>
      <c r="B58" s="264"/>
      <c r="C58" s="264"/>
      <c r="D58" s="139"/>
      <c r="E58" s="139"/>
      <c r="F58" s="139"/>
      <c r="G58" s="140"/>
      <c r="H58" s="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1:102" s="38" customFormat="1" ht="35.1" customHeight="1">
      <c r="A59" s="37"/>
      <c r="B59" s="326" t="s">
        <v>0</v>
      </c>
      <c r="C59" s="326"/>
      <c r="D59" s="326"/>
      <c r="E59" s="326"/>
      <c r="F59" s="326"/>
      <c r="G59" s="326"/>
      <c r="H59" s="88"/>
      <c r="I59" s="88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</row>
    <row r="60" spans="1:102" s="24" customFormat="1" ht="24.95" customHeight="1">
      <c r="A60" s="278"/>
      <c r="B60" s="279" t="s">
        <v>1</v>
      </c>
      <c r="C60" s="279" t="s">
        <v>2</v>
      </c>
      <c r="D60" s="323" t="s">
        <v>3</v>
      </c>
      <c r="E60" s="181" t="s">
        <v>31</v>
      </c>
      <c r="F60" s="295" t="s">
        <v>4</v>
      </c>
      <c r="G60" s="296" t="s">
        <v>32</v>
      </c>
      <c r="H60" s="90"/>
      <c r="I60" s="90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</row>
    <row r="61" spans="1:7" ht="24.95" customHeight="1">
      <c r="A61" s="278"/>
      <c r="B61" s="279"/>
      <c r="C61" s="279"/>
      <c r="D61" s="323"/>
      <c r="E61" s="45" t="s">
        <v>7</v>
      </c>
      <c r="F61" s="295"/>
      <c r="G61" s="296"/>
    </row>
    <row r="62" spans="1:9" ht="24.95" customHeight="1">
      <c r="A62" s="21"/>
      <c r="B62" s="324" t="s">
        <v>160</v>
      </c>
      <c r="C62" s="324"/>
      <c r="D62" s="324"/>
      <c r="E62" s="324"/>
      <c r="F62" s="324"/>
      <c r="G62" s="324"/>
      <c r="H62" s="87"/>
      <c r="I62" s="87"/>
    </row>
    <row r="63" spans="1:102" s="1" customFormat="1" ht="24.95" customHeight="1">
      <c r="A63" s="21"/>
      <c r="B63" s="272" t="s">
        <v>151</v>
      </c>
      <c r="C63" s="272" t="s">
        <v>152</v>
      </c>
      <c r="D63" s="44" t="s">
        <v>153</v>
      </c>
      <c r="E63" s="124">
        <f>689-'[1]oblast u grillů'!$E$60</f>
        <v>470</v>
      </c>
      <c r="F63" s="68"/>
      <c r="G63" s="68">
        <f aca="true" t="shared" si="0" ref="G63:G66">E63*F63</f>
        <v>0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</row>
    <row r="64" spans="1:102" s="1" customFormat="1" ht="24.95" customHeight="1">
      <c r="A64" s="21"/>
      <c r="B64" s="272" t="s">
        <v>155</v>
      </c>
      <c r="C64" s="272" t="s">
        <v>154</v>
      </c>
      <c r="D64" s="44" t="s">
        <v>153</v>
      </c>
      <c r="E64" s="124">
        <f>287-'[1]oblast u grillů'!$E$62</f>
        <v>82</v>
      </c>
      <c r="F64" s="68"/>
      <c r="G64" s="68">
        <f t="shared" si="0"/>
        <v>0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</row>
    <row r="65" spans="1:102" s="1" customFormat="1" ht="24.95" customHeight="1">
      <c r="A65" s="21"/>
      <c r="B65" s="272" t="s">
        <v>156</v>
      </c>
      <c r="C65" s="272" t="s">
        <v>157</v>
      </c>
      <c r="D65" s="44" t="s">
        <v>153</v>
      </c>
      <c r="E65" s="124">
        <f>978-'[1]oblast u grillů'!$E$63</f>
        <v>666</v>
      </c>
      <c r="F65" s="68"/>
      <c r="G65" s="68">
        <f t="shared" si="0"/>
        <v>0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</row>
    <row r="66" spans="1:102" s="1" customFormat="1" ht="24.95" customHeight="1">
      <c r="A66" s="21"/>
      <c r="B66" s="272" t="s">
        <v>158</v>
      </c>
      <c r="C66" s="272" t="s">
        <v>159</v>
      </c>
      <c r="D66" s="44" t="s">
        <v>153</v>
      </c>
      <c r="E66" s="124">
        <v>268</v>
      </c>
      <c r="F66" s="68"/>
      <c r="G66" s="68">
        <f t="shared" si="0"/>
        <v>0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</row>
    <row r="67" spans="1:9" ht="24.95" customHeight="1">
      <c r="A67" s="21"/>
      <c r="B67" s="325" t="s">
        <v>46</v>
      </c>
      <c r="C67" s="325"/>
      <c r="D67" s="18"/>
      <c r="E67" s="106">
        <f>SUM(E63:E66)</f>
        <v>1486</v>
      </c>
      <c r="F67" s="18"/>
      <c r="G67" s="69">
        <f>SUM(G63:G66)</f>
        <v>0</v>
      </c>
      <c r="H67" s="87"/>
      <c r="I67" s="87"/>
    </row>
    <row r="68" spans="1:9" ht="24.95" customHeight="1">
      <c r="A68" s="21"/>
      <c r="B68" s="324" t="s">
        <v>53</v>
      </c>
      <c r="C68" s="324"/>
      <c r="D68" s="324"/>
      <c r="E68" s="324"/>
      <c r="F68" s="324"/>
      <c r="G68" s="324"/>
      <c r="H68" s="87"/>
      <c r="I68" s="87"/>
    </row>
    <row r="69" spans="1:9" ht="24.95" customHeight="1">
      <c r="A69" s="21"/>
      <c r="B69" s="272" t="s">
        <v>161</v>
      </c>
      <c r="C69" s="272" t="s">
        <v>162</v>
      </c>
      <c r="D69" s="44" t="s">
        <v>163</v>
      </c>
      <c r="E69" s="124">
        <v>174</v>
      </c>
      <c r="F69" s="68"/>
      <c r="G69" s="68">
        <f aca="true" t="shared" si="1" ref="G69:G71">E69*F69</f>
        <v>0</v>
      </c>
      <c r="H69" s="87"/>
      <c r="I69" s="87"/>
    </row>
    <row r="70" spans="1:9" ht="24.95" customHeight="1">
      <c r="A70" s="21"/>
      <c r="B70" s="272" t="s">
        <v>164</v>
      </c>
      <c r="C70" s="272" t="s">
        <v>165</v>
      </c>
      <c r="D70" s="44" t="s">
        <v>163</v>
      </c>
      <c r="E70" s="124">
        <v>142</v>
      </c>
      <c r="F70" s="68"/>
      <c r="G70" s="68">
        <f t="shared" si="1"/>
        <v>0</v>
      </c>
      <c r="H70" s="87"/>
      <c r="I70" s="87"/>
    </row>
    <row r="71" spans="1:9" ht="24.95" customHeight="1">
      <c r="A71" s="21"/>
      <c r="B71" s="272" t="s">
        <v>166</v>
      </c>
      <c r="C71" s="272" t="s">
        <v>167</v>
      </c>
      <c r="D71" s="44" t="s">
        <v>163</v>
      </c>
      <c r="E71" s="124">
        <v>171</v>
      </c>
      <c r="F71" s="68"/>
      <c r="G71" s="68">
        <f t="shared" si="1"/>
        <v>0</v>
      </c>
      <c r="H71" s="87"/>
      <c r="I71" s="87"/>
    </row>
    <row r="72" spans="1:9" ht="24.95" customHeight="1">
      <c r="A72" s="21"/>
      <c r="B72" s="325" t="s">
        <v>54</v>
      </c>
      <c r="C72" s="325"/>
      <c r="D72" s="18"/>
      <c r="E72" s="106">
        <f>SUM(E69:E71)</f>
        <v>487</v>
      </c>
      <c r="F72" s="18"/>
      <c r="G72" s="69">
        <f>SUM(G69:G71)</f>
        <v>0</v>
      </c>
      <c r="H72" s="87"/>
      <c r="I72" s="87"/>
    </row>
    <row r="73" spans="1:9" ht="24.95" customHeight="1">
      <c r="A73" s="21"/>
      <c r="B73" s="324" t="s">
        <v>192</v>
      </c>
      <c r="C73" s="324"/>
      <c r="D73" s="324"/>
      <c r="E73" s="324"/>
      <c r="F73" s="324"/>
      <c r="G73" s="324"/>
      <c r="H73" s="87"/>
      <c r="I73" s="87"/>
    </row>
    <row r="74" spans="1:9" ht="24.95" customHeight="1">
      <c r="A74" s="21"/>
      <c r="B74" s="272" t="s">
        <v>168</v>
      </c>
      <c r="C74" s="272" t="s">
        <v>169</v>
      </c>
      <c r="D74" s="124" t="s">
        <v>170</v>
      </c>
      <c r="E74" s="124">
        <f>35-'[1]oblast u grillů'!$E$69</f>
        <v>15</v>
      </c>
      <c r="F74" s="68"/>
      <c r="G74" s="68">
        <f aca="true" t="shared" si="2" ref="G74:G84">E74*F74</f>
        <v>0</v>
      </c>
      <c r="H74" s="87"/>
      <c r="I74" s="87"/>
    </row>
    <row r="75" spans="1:9" ht="24.95" customHeight="1">
      <c r="A75" s="21"/>
      <c r="B75" s="272" t="s">
        <v>171</v>
      </c>
      <c r="C75" s="272" t="s">
        <v>172</v>
      </c>
      <c r="D75" s="124" t="s">
        <v>170</v>
      </c>
      <c r="E75" s="124">
        <v>40</v>
      </c>
      <c r="F75" s="68"/>
      <c r="G75" s="68">
        <f t="shared" si="2"/>
        <v>0</v>
      </c>
      <c r="H75" s="87"/>
      <c r="I75" s="87"/>
    </row>
    <row r="76" spans="1:9" ht="24.95" customHeight="1">
      <c r="A76" s="21"/>
      <c r="B76" s="272" t="s">
        <v>173</v>
      </c>
      <c r="C76" s="272" t="s">
        <v>174</v>
      </c>
      <c r="D76" s="124" t="s">
        <v>170</v>
      </c>
      <c r="E76" s="124">
        <f>88-'[1]oblast u grillů'!$E$70</f>
        <v>40</v>
      </c>
      <c r="F76" s="68"/>
      <c r="G76" s="68">
        <f t="shared" si="2"/>
        <v>0</v>
      </c>
      <c r="H76" s="87"/>
      <c r="I76" s="87"/>
    </row>
    <row r="77" spans="1:9" ht="24.95" customHeight="1">
      <c r="A77" s="21"/>
      <c r="B77" s="272" t="s">
        <v>176</v>
      </c>
      <c r="C77" s="272" t="s">
        <v>177</v>
      </c>
      <c r="D77" s="124" t="s">
        <v>170</v>
      </c>
      <c r="E77" s="124">
        <v>20</v>
      </c>
      <c r="F77" s="68"/>
      <c r="G77" s="68">
        <f t="shared" si="2"/>
        <v>0</v>
      </c>
      <c r="H77" s="87"/>
      <c r="I77" s="87"/>
    </row>
    <row r="78" spans="1:9" ht="24.95" customHeight="1">
      <c r="A78" s="21"/>
      <c r="B78" s="272" t="s">
        <v>178</v>
      </c>
      <c r="C78" s="272" t="s">
        <v>179</v>
      </c>
      <c r="D78" s="124" t="s">
        <v>170</v>
      </c>
      <c r="E78" s="124">
        <f>50-'[1]oblast u grillů'!$E$71</f>
        <v>20</v>
      </c>
      <c r="F78" s="68"/>
      <c r="G78" s="68">
        <f t="shared" si="2"/>
        <v>0</v>
      </c>
      <c r="H78" s="87"/>
      <c r="I78" s="87"/>
    </row>
    <row r="79" spans="1:9" ht="24.95" customHeight="1">
      <c r="A79" s="21"/>
      <c r="B79" s="272" t="s">
        <v>180</v>
      </c>
      <c r="C79" s="272" t="s">
        <v>181</v>
      </c>
      <c r="D79" s="124" t="s">
        <v>170</v>
      </c>
      <c r="E79" s="124">
        <f>150-'[1]oblast u grillů'!$E$73</f>
        <v>110</v>
      </c>
      <c r="F79" s="68"/>
      <c r="G79" s="68">
        <f t="shared" si="2"/>
        <v>0</v>
      </c>
      <c r="H79" s="87"/>
      <c r="I79" s="87"/>
    </row>
    <row r="80" spans="1:9" ht="24.95" customHeight="1">
      <c r="A80" s="21"/>
      <c r="B80" s="272" t="s">
        <v>182</v>
      </c>
      <c r="C80" s="272" t="s">
        <v>5</v>
      </c>
      <c r="D80" s="124" t="s">
        <v>170</v>
      </c>
      <c r="E80" s="124">
        <f>213-'[1]oblast u grillů'!$E$74</f>
        <v>139</v>
      </c>
      <c r="F80" s="68"/>
      <c r="G80" s="68">
        <f t="shared" si="2"/>
        <v>0</v>
      </c>
      <c r="H80" s="87"/>
      <c r="I80" s="87"/>
    </row>
    <row r="81" spans="1:9" ht="24.95" customHeight="1">
      <c r="A81" s="21"/>
      <c r="B81" s="272" t="s">
        <v>183</v>
      </c>
      <c r="C81" s="272" t="s">
        <v>184</v>
      </c>
      <c r="D81" s="124" t="s">
        <v>170</v>
      </c>
      <c r="E81" s="124">
        <f>118-'[1]oblast u grillů'!$E$75</f>
        <v>88</v>
      </c>
      <c r="F81" s="68"/>
      <c r="G81" s="68">
        <f t="shared" si="2"/>
        <v>0</v>
      </c>
      <c r="H81" s="87"/>
      <c r="I81" s="87"/>
    </row>
    <row r="82" spans="1:9" ht="24.95" customHeight="1">
      <c r="A82" s="21"/>
      <c r="B82" s="272" t="s">
        <v>185</v>
      </c>
      <c r="C82" s="272" t="s">
        <v>186</v>
      </c>
      <c r="D82" s="124" t="s">
        <v>187</v>
      </c>
      <c r="E82" s="124">
        <f>374-'[1]oblast u grillů'!$E$76</f>
        <v>285</v>
      </c>
      <c r="F82" s="68"/>
      <c r="G82" s="68">
        <f t="shared" si="2"/>
        <v>0</v>
      </c>
      <c r="H82" s="87"/>
      <c r="I82" s="87"/>
    </row>
    <row r="83" spans="1:9" ht="24.95" customHeight="1">
      <c r="A83" s="21"/>
      <c r="B83" s="272" t="s">
        <v>188</v>
      </c>
      <c r="C83" s="272" t="s">
        <v>189</v>
      </c>
      <c r="D83" s="124" t="s">
        <v>187</v>
      </c>
      <c r="E83" s="124">
        <f>185-'[1]oblast u grillů'!$E$77</f>
        <v>120</v>
      </c>
      <c r="F83" s="68"/>
      <c r="G83" s="68">
        <f t="shared" si="2"/>
        <v>0</v>
      </c>
      <c r="H83" s="87"/>
      <c r="I83" s="87"/>
    </row>
    <row r="84" spans="1:9" ht="24.95" customHeight="1">
      <c r="A84" s="21"/>
      <c r="B84" s="272" t="s">
        <v>190</v>
      </c>
      <c r="C84" s="272" t="s">
        <v>191</v>
      </c>
      <c r="D84" s="124" t="s">
        <v>170</v>
      </c>
      <c r="E84" s="124">
        <v>51</v>
      </c>
      <c r="F84" s="68"/>
      <c r="G84" s="68">
        <f t="shared" si="2"/>
        <v>0</v>
      </c>
      <c r="H84" s="87"/>
      <c r="I84" s="87"/>
    </row>
    <row r="85" spans="1:9" ht="24.95" customHeight="1">
      <c r="A85" s="21"/>
      <c r="B85" s="325" t="s">
        <v>193</v>
      </c>
      <c r="C85" s="325"/>
      <c r="D85" s="18"/>
      <c r="E85" s="106">
        <f>SUM(E74:E84)</f>
        <v>928</v>
      </c>
      <c r="F85" s="18"/>
      <c r="G85" s="69">
        <f>SUM(G74:G84)</f>
        <v>0</v>
      </c>
      <c r="H85" s="87"/>
      <c r="I85" s="87"/>
    </row>
    <row r="86" spans="1:102" s="24" customFormat="1" ht="24.95" customHeight="1">
      <c r="A86" s="278"/>
      <c r="B86" s="279" t="s">
        <v>1</v>
      </c>
      <c r="C86" s="279" t="s">
        <v>2</v>
      </c>
      <c r="D86" s="323" t="s">
        <v>3</v>
      </c>
      <c r="E86" s="182" t="s">
        <v>31</v>
      </c>
      <c r="F86" s="295" t="s">
        <v>4</v>
      </c>
      <c r="G86" s="296" t="s">
        <v>32</v>
      </c>
      <c r="H86" s="90"/>
      <c r="I86" s="90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</row>
    <row r="87" spans="1:7" ht="24.95" customHeight="1">
      <c r="A87" s="278"/>
      <c r="B87" s="279"/>
      <c r="C87" s="279"/>
      <c r="D87" s="323"/>
      <c r="E87" s="45" t="s">
        <v>7</v>
      </c>
      <c r="F87" s="295"/>
      <c r="G87" s="296"/>
    </row>
    <row r="88" spans="1:9" ht="24.95" customHeight="1">
      <c r="A88" s="21"/>
      <c r="B88" s="324" t="s">
        <v>194</v>
      </c>
      <c r="C88" s="324"/>
      <c r="D88" s="324"/>
      <c r="E88" s="324"/>
      <c r="F88" s="324"/>
      <c r="G88" s="324"/>
      <c r="H88" s="87"/>
      <c r="I88" s="87"/>
    </row>
    <row r="89" spans="1:9" ht="24.95" customHeight="1">
      <c r="A89" s="21"/>
      <c r="B89" s="273" t="s">
        <v>196</v>
      </c>
      <c r="C89" s="273" t="s">
        <v>197</v>
      </c>
      <c r="D89" s="124" t="s">
        <v>170</v>
      </c>
      <c r="E89" s="124">
        <v>8</v>
      </c>
      <c r="F89" s="68"/>
      <c r="G89" s="68">
        <f aca="true" t="shared" si="3" ref="G89:G111">E89*F89</f>
        <v>0</v>
      </c>
      <c r="H89" s="87"/>
      <c r="I89" s="87"/>
    </row>
    <row r="90" spans="1:9" ht="24.95" customHeight="1">
      <c r="A90" s="21"/>
      <c r="B90" s="273" t="s">
        <v>198</v>
      </c>
      <c r="C90" s="273" t="s">
        <v>199</v>
      </c>
      <c r="D90" s="124" t="s">
        <v>170</v>
      </c>
      <c r="E90" s="124">
        <v>15</v>
      </c>
      <c r="F90" s="68"/>
      <c r="G90" s="68">
        <f t="shared" si="3"/>
        <v>0</v>
      </c>
      <c r="H90" s="87"/>
      <c r="I90" s="87"/>
    </row>
    <row r="91" spans="1:9" ht="24.95" customHeight="1">
      <c r="A91" s="21"/>
      <c r="B91" s="273" t="s">
        <v>200</v>
      </c>
      <c r="C91" s="273" t="s">
        <v>201</v>
      </c>
      <c r="D91" s="124" t="s">
        <v>170</v>
      </c>
      <c r="E91" s="124">
        <v>32</v>
      </c>
      <c r="F91" s="68"/>
      <c r="G91" s="68">
        <f t="shared" si="3"/>
        <v>0</v>
      </c>
      <c r="H91" s="87"/>
      <c r="I91" s="87"/>
    </row>
    <row r="92" spans="1:9" ht="24.95" customHeight="1">
      <c r="A92" s="21"/>
      <c r="B92" s="273" t="s">
        <v>202</v>
      </c>
      <c r="C92" s="273" t="s">
        <v>203</v>
      </c>
      <c r="D92" s="124" t="s">
        <v>170</v>
      </c>
      <c r="E92" s="124">
        <v>64</v>
      </c>
      <c r="F92" s="68"/>
      <c r="G92" s="68">
        <f t="shared" si="3"/>
        <v>0</v>
      </c>
      <c r="H92" s="87"/>
      <c r="I92" s="87"/>
    </row>
    <row r="93" spans="1:9" ht="24.95" customHeight="1">
      <c r="A93" s="21"/>
      <c r="B93" s="273" t="s">
        <v>204</v>
      </c>
      <c r="C93" s="273" t="s">
        <v>205</v>
      </c>
      <c r="D93" s="124" t="s">
        <v>170</v>
      </c>
      <c r="E93" s="124">
        <v>40</v>
      </c>
      <c r="F93" s="68"/>
      <c r="G93" s="68">
        <f t="shared" si="3"/>
        <v>0</v>
      </c>
      <c r="H93" s="87"/>
      <c r="I93" s="87"/>
    </row>
    <row r="94" spans="1:9" ht="24.95" customHeight="1">
      <c r="A94" s="21"/>
      <c r="B94" s="273" t="s">
        <v>206</v>
      </c>
      <c r="C94" s="273" t="s">
        <v>205</v>
      </c>
      <c r="D94" s="124" t="s">
        <v>170</v>
      </c>
      <c r="E94" s="124">
        <v>32</v>
      </c>
      <c r="F94" s="68"/>
      <c r="G94" s="68">
        <f t="shared" si="3"/>
        <v>0</v>
      </c>
      <c r="H94" s="87"/>
      <c r="I94" s="87"/>
    </row>
    <row r="95" spans="1:9" ht="24.95" customHeight="1">
      <c r="A95" s="21"/>
      <c r="B95" s="273" t="s">
        <v>207</v>
      </c>
      <c r="C95" s="273" t="s">
        <v>208</v>
      </c>
      <c r="D95" s="124" t="s">
        <v>170</v>
      </c>
      <c r="E95" s="124">
        <v>40</v>
      </c>
      <c r="F95" s="68"/>
      <c r="G95" s="68">
        <f t="shared" si="3"/>
        <v>0</v>
      </c>
      <c r="H95" s="87"/>
      <c r="I95" s="87"/>
    </row>
    <row r="96" spans="1:9" ht="24.95" customHeight="1">
      <c r="A96" s="21"/>
      <c r="B96" s="273" t="s">
        <v>209</v>
      </c>
      <c r="C96" s="273" t="s">
        <v>210</v>
      </c>
      <c r="D96" s="124" t="s">
        <v>170</v>
      </c>
      <c r="E96" s="124">
        <v>15</v>
      </c>
      <c r="F96" s="68"/>
      <c r="G96" s="68">
        <f t="shared" si="3"/>
        <v>0</v>
      </c>
      <c r="H96" s="87"/>
      <c r="I96" s="87"/>
    </row>
    <row r="97" spans="1:9" ht="24.95" customHeight="1">
      <c r="A97" s="21"/>
      <c r="B97" s="273" t="s">
        <v>211</v>
      </c>
      <c r="C97" s="273" t="s">
        <v>212</v>
      </c>
      <c r="D97" s="124" t="s">
        <v>170</v>
      </c>
      <c r="E97" s="124">
        <v>47</v>
      </c>
      <c r="F97" s="68"/>
      <c r="G97" s="68">
        <f t="shared" si="3"/>
        <v>0</v>
      </c>
      <c r="H97" s="87"/>
      <c r="I97" s="87"/>
    </row>
    <row r="98" spans="1:9" ht="24.95" customHeight="1">
      <c r="A98" s="21"/>
      <c r="B98" s="273" t="s">
        <v>213</v>
      </c>
      <c r="C98" s="273" t="s">
        <v>214</v>
      </c>
      <c r="D98" s="124" t="s">
        <v>170</v>
      </c>
      <c r="E98" s="124">
        <v>15</v>
      </c>
      <c r="F98" s="68"/>
      <c r="G98" s="68">
        <f t="shared" si="3"/>
        <v>0</v>
      </c>
      <c r="H98" s="87"/>
      <c r="I98" s="87"/>
    </row>
    <row r="99" spans="1:9" ht="24.95" customHeight="1">
      <c r="A99" s="21"/>
      <c r="B99" s="273" t="s">
        <v>215</v>
      </c>
      <c r="C99" s="273" t="s">
        <v>175</v>
      </c>
      <c r="D99" s="124" t="s">
        <v>170</v>
      </c>
      <c r="E99" s="124">
        <v>8</v>
      </c>
      <c r="F99" s="68"/>
      <c r="G99" s="68">
        <f t="shared" si="3"/>
        <v>0</v>
      </c>
      <c r="H99" s="87"/>
      <c r="I99" s="87"/>
    </row>
    <row r="100" spans="1:9" ht="24.95" customHeight="1">
      <c r="A100" s="21"/>
      <c r="B100" s="273" t="s">
        <v>216</v>
      </c>
      <c r="C100" s="273" t="s">
        <v>217</v>
      </c>
      <c r="D100" s="124" t="s">
        <v>170</v>
      </c>
      <c r="E100" s="124">
        <v>79</v>
      </c>
      <c r="F100" s="68"/>
      <c r="G100" s="68">
        <f t="shared" si="3"/>
        <v>0</v>
      </c>
      <c r="H100" s="87"/>
      <c r="I100" s="87"/>
    </row>
    <row r="101" spans="1:9" ht="24.95" customHeight="1">
      <c r="A101" s="21"/>
      <c r="B101" s="273" t="s">
        <v>218</v>
      </c>
      <c r="C101" s="273" t="s">
        <v>217</v>
      </c>
      <c r="D101" s="124" t="s">
        <v>170</v>
      </c>
      <c r="E101" s="124">
        <v>56</v>
      </c>
      <c r="F101" s="68"/>
      <c r="G101" s="68">
        <f t="shared" si="3"/>
        <v>0</v>
      </c>
      <c r="H101" s="87"/>
      <c r="I101" s="87"/>
    </row>
    <row r="102" spans="1:9" ht="24.95" customHeight="1">
      <c r="A102" s="21"/>
      <c r="B102" s="273" t="s">
        <v>219</v>
      </c>
      <c r="C102" s="273" t="s">
        <v>220</v>
      </c>
      <c r="D102" s="124" t="s">
        <v>170</v>
      </c>
      <c r="E102" s="124">
        <v>32</v>
      </c>
      <c r="F102" s="68"/>
      <c r="G102" s="68">
        <f t="shared" si="3"/>
        <v>0</v>
      </c>
      <c r="H102" s="87"/>
      <c r="I102" s="87"/>
    </row>
    <row r="103" spans="1:9" ht="24.95" customHeight="1">
      <c r="A103" s="21"/>
      <c r="B103" s="273" t="s">
        <v>221</v>
      </c>
      <c r="C103" s="273" t="s">
        <v>179</v>
      </c>
      <c r="D103" s="124" t="s">
        <v>170</v>
      </c>
      <c r="E103" s="124">
        <v>32</v>
      </c>
      <c r="F103" s="68"/>
      <c r="G103" s="68">
        <f t="shared" si="3"/>
        <v>0</v>
      </c>
      <c r="H103" s="87"/>
      <c r="I103" s="87"/>
    </row>
    <row r="104" spans="1:9" ht="24.95" customHeight="1">
      <c r="A104" s="21"/>
      <c r="B104" s="273" t="s">
        <v>222</v>
      </c>
      <c r="C104" s="273" t="s">
        <v>223</v>
      </c>
      <c r="D104" s="124" t="s">
        <v>170</v>
      </c>
      <c r="E104" s="124">
        <v>15</v>
      </c>
      <c r="F104" s="68"/>
      <c r="G104" s="68">
        <f t="shared" si="3"/>
        <v>0</v>
      </c>
      <c r="H104" s="87"/>
      <c r="I104" s="87"/>
    </row>
    <row r="105" spans="1:9" ht="24.95" customHeight="1">
      <c r="A105" s="21"/>
      <c r="B105" s="273" t="s">
        <v>224</v>
      </c>
      <c r="C105" s="273" t="s">
        <v>225</v>
      </c>
      <c r="D105" s="124" t="s">
        <v>170</v>
      </c>
      <c r="E105" s="124">
        <v>15</v>
      </c>
      <c r="F105" s="68"/>
      <c r="G105" s="68">
        <f t="shared" si="3"/>
        <v>0</v>
      </c>
      <c r="H105" s="87"/>
      <c r="I105" s="87"/>
    </row>
    <row r="106" spans="1:9" ht="24.95" customHeight="1">
      <c r="A106" s="21"/>
      <c r="B106" s="273" t="s">
        <v>226</v>
      </c>
      <c r="C106" s="273" t="s">
        <v>227</v>
      </c>
      <c r="D106" s="124" t="s">
        <v>170</v>
      </c>
      <c r="E106" s="124">
        <v>15</v>
      </c>
      <c r="F106" s="68"/>
      <c r="G106" s="68">
        <f t="shared" si="3"/>
        <v>0</v>
      </c>
      <c r="H106" s="87"/>
      <c r="I106" s="87"/>
    </row>
    <row r="107" spans="1:9" ht="24.95" customHeight="1">
      <c r="A107" s="21"/>
      <c r="B107" s="273" t="s">
        <v>228</v>
      </c>
      <c r="C107" s="273" t="s">
        <v>229</v>
      </c>
      <c r="D107" s="124" t="s">
        <v>170</v>
      </c>
      <c r="E107" s="124">
        <v>40</v>
      </c>
      <c r="F107" s="68"/>
      <c r="G107" s="68">
        <f t="shared" si="3"/>
        <v>0</v>
      </c>
      <c r="H107" s="87"/>
      <c r="I107" s="87"/>
    </row>
    <row r="108" spans="1:9" ht="24.95" customHeight="1">
      <c r="A108" s="21"/>
      <c r="B108" s="273" t="s">
        <v>230</v>
      </c>
      <c r="C108" s="273" t="s">
        <v>231</v>
      </c>
      <c r="D108" s="124" t="s">
        <v>170</v>
      </c>
      <c r="E108" s="124">
        <v>15</v>
      </c>
      <c r="F108" s="68"/>
      <c r="G108" s="68">
        <f t="shared" si="3"/>
        <v>0</v>
      </c>
      <c r="H108" s="87"/>
      <c r="I108" s="87"/>
    </row>
    <row r="109" spans="1:9" ht="24.95" customHeight="1">
      <c r="A109" s="21"/>
      <c r="B109" s="273" t="s">
        <v>232</v>
      </c>
      <c r="C109" s="273" t="s">
        <v>233</v>
      </c>
      <c r="D109" s="124" t="s">
        <v>170</v>
      </c>
      <c r="E109" s="124">
        <v>40</v>
      </c>
      <c r="F109" s="68"/>
      <c r="G109" s="68">
        <f t="shared" si="3"/>
        <v>0</v>
      </c>
      <c r="H109" s="87"/>
      <c r="I109" s="87"/>
    </row>
    <row r="110" spans="1:9" ht="24.95" customHeight="1">
      <c r="A110" s="21"/>
      <c r="B110" s="273" t="s">
        <v>234</v>
      </c>
      <c r="C110" s="273" t="s">
        <v>235</v>
      </c>
      <c r="D110" s="124" t="s">
        <v>170</v>
      </c>
      <c r="E110" s="124">
        <v>95</v>
      </c>
      <c r="F110" s="68"/>
      <c r="G110" s="68">
        <f t="shared" si="3"/>
        <v>0</v>
      </c>
      <c r="H110" s="87"/>
      <c r="I110" s="87"/>
    </row>
    <row r="111" spans="1:9" ht="24.95" customHeight="1">
      <c r="A111" s="21"/>
      <c r="B111" s="273" t="s">
        <v>236</v>
      </c>
      <c r="C111" s="273" t="s">
        <v>237</v>
      </c>
      <c r="D111" s="124" t="s">
        <v>170</v>
      </c>
      <c r="E111" s="124">
        <v>40</v>
      </c>
      <c r="F111" s="68"/>
      <c r="G111" s="68">
        <f t="shared" si="3"/>
        <v>0</v>
      </c>
      <c r="H111" s="87"/>
      <c r="I111" s="87"/>
    </row>
    <row r="112" spans="1:9" ht="24.95" customHeight="1">
      <c r="A112" s="21"/>
      <c r="B112" s="325" t="s">
        <v>195</v>
      </c>
      <c r="C112" s="325"/>
      <c r="D112" s="18"/>
      <c r="E112" s="106">
        <f>SUM(E89:E111)</f>
        <v>790</v>
      </c>
      <c r="F112" s="18"/>
      <c r="G112" s="69">
        <f>SUM(G89:G111)</f>
        <v>0</v>
      </c>
      <c r="H112" s="87"/>
      <c r="I112" s="87"/>
    </row>
    <row r="113" spans="1:102" s="24" customFormat="1" ht="24.95" customHeight="1">
      <c r="A113" s="278"/>
      <c r="B113" s="279" t="s">
        <v>1</v>
      </c>
      <c r="C113" s="279" t="s">
        <v>2</v>
      </c>
      <c r="D113" s="323" t="s">
        <v>3</v>
      </c>
      <c r="E113" s="275" t="s">
        <v>31</v>
      </c>
      <c r="F113" s="295" t="s">
        <v>4</v>
      </c>
      <c r="G113" s="296" t="s">
        <v>32</v>
      </c>
      <c r="H113" s="90"/>
      <c r="I113" s="90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  <c r="CX113" s="91"/>
    </row>
    <row r="114" spans="1:7" ht="24.95" customHeight="1">
      <c r="A114" s="278"/>
      <c r="B114" s="279"/>
      <c r="C114" s="279"/>
      <c r="D114" s="323"/>
      <c r="E114" s="45" t="s">
        <v>7</v>
      </c>
      <c r="F114" s="295"/>
      <c r="G114" s="296"/>
    </row>
    <row r="115" spans="1:9" ht="24.95" customHeight="1">
      <c r="A115" s="21"/>
      <c r="B115" s="324" t="s">
        <v>238</v>
      </c>
      <c r="C115" s="324"/>
      <c r="D115" s="324"/>
      <c r="E115" s="324"/>
      <c r="F115" s="324"/>
      <c r="G115" s="324"/>
      <c r="H115" s="87"/>
      <c r="I115" s="87"/>
    </row>
    <row r="116" spans="1:9" ht="24.95" customHeight="1">
      <c r="A116" s="21"/>
      <c r="B116" s="273" t="s">
        <v>240</v>
      </c>
      <c r="C116" s="273" t="s">
        <v>241</v>
      </c>
      <c r="D116" s="124" t="s">
        <v>242</v>
      </c>
      <c r="E116" s="124">
        <v>176</v>
      </c>
      <c r="F116" s="68"/>
      <c r="G116" s="68">
        <f aca="true" t="shared" si="4" ref="G116:G120">E116*F116</f>
        <v>0</v>
      </c>
      <c r="H116" s="87"/>
      <c r="I116" s="87"/>
    </row>
    <row r="117" spans="1:9" ht="24.95" customHeight="1">
      <c r="A117" s="21"/>
      <c r="B117" s="273" t="s">
        <v>243</v>
      </c>
      <c r="C117" s="273" t="s">
        <v>241</v>
      </c>
      <c r="D117" s="124" t="s">
        <v>242</v>
      </c>
      <c r="E117" s="124">
        <v>352</v>
      </c>
      <c r="F117" s="68"/>
      <c r="G117" s="68">
        <f t="shared" si="4"/>
        <v>0</v>
      </c>
      <c r="H117" s="87"/>
      <c r="I117" s="87"/>
    </row>
    <row r="118" spans="1:9" ht="24.95" customHeight="1">
      <c r="A118" s="21"/>
      <c r="B118" s="273" t="s">
        <v>244</v>
      </c>
      <c r="C118" s="273" t="s">
        <v>245</v>
      </c>
      <c r="D118" s="124" t="s">
        <v>242</v>
      </c>
      <c r="E118" s="124">
        <v>484</v>
      </c>
      <c r="F118" s="68"/>
      <c r="G118" s="68">
        <f t="shared" si="4"/>
        <v>0</v>
      </c>
      <c r="H118" s="87"/>
      <c r="I118" s="87"/>
    </row>
    <row r="119" spans="1:9" ht="24.95" customHeight="1">
      <c r="A119" s="21"/>
      <c r="B119" s="273" t="s">
        <v>246</v>
      </c>
      <c r="C119" s="273" t="s">
        <v>247</v>
      </c>
      <c r="D119" s="124" t="s">
        <v>242</v>
      </c>
      <c r="E119" s="124">
        <v>484</v>
      </c>
      <c r="F119" s="68"/>
      <c r="G119" s="68">
        <f t="shared" si="4"/>
        <v>0</v>
      </c>
      <c r="H119" s="87"/>
      <c r="I119" s="87"/>
    </row>
    <row r="120" spans="1:9" ht="24.95" customHeight="1">
      <c r="A120" s="21"/>
      <c r="B120" s="273" t="s">
        <v>248</v>
      </c>
      <c r="C120" s="273" t="s">
        <v>249</v>
      </c>
      <c r="D120" s="124" t="s">
        <v>242</v>
      </c>
      <c r="E120" s="124">
        <v>352</v>
      </c>
      <c r="F120" s="68"/>
      <c r="G120" s="68">
        <f t="shared" si="4"/>
        <v>0</v>
      </c>
      <c r="H120" s="87"/>
      <c r="I120" s="87"/>
    </row>
    <row r="121" spans="1:9" ht="24.95" customHeight="1">
      <c r="A121" s="21"/>
      <c r="B121" s="325" t="s">
        <v>239</v>
      </c>
      <c r="C121" s="325"/>
      <c r="D121" s="18"/>
      <c r="E121" s="106">
        <f>SUM(E116:E120)</f>
        <v>1848</v>
      </c>
      <c r="F121" s="18"/>
      <c r="G121" s="69">
        <f>SUM(G116:G120)</f>
        <v>0</v>
      </c>
      <c r="H121" s="87"/>
      <c r="I121" s="87"/>
    </row>
    <row r="122" spans="1:9" ht="24.95" customHeight="1">
      <c r="A122" s="21"/>
      <c r="B122" s="339" t="s">
        <v>58</v>
      </c>
      <c r="C122" s="339"/>
      <c r="D122" s="76" t="s">
        <v>59</v>
      </c>
      <c r="E122" s="18"/>
      <c r="F122" s="18"/>
      <c r="G122" s="69">
        <f>(G85+G72+G67+G112+G121)*0.1</f>
        <v>0</v>
      </c>
      <c r="H122" s="87"/>
      <c r="I122" s="87"/>
    </row>
    <row r="123" spans="1:102" s="38" customFormat="1" ht="35.1" customHeight="1">
      <c r="A123" s="39"/>
      <c r="B123" s="322" t="s">
        <v>112</v>
      </c>
      <c r="C123" s="322" t="s">
        <v>5</v>
      </c>
      <c r="D123" s="322"/>
      <c r="E123" s="322"/>
      <c r="F123" s="322"/>
      <c r="G123" s="107">
        <f>SUM(G122,G121,G112,G85,G72,G67)</f>
        <v>0</v>
      </c>
      <c r="H123" s="88"/>
      <c r="I123" s="88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</row>
    <row r="124" spans="1:7" ht="35.1" customHeight="1">
      <c r="A124" s="32"/>
      <c r="B124" s="300" t="s">
        <v>48</v>
      </c>
      <c r="C124" s="300"/>
      <c r="D124" s="300"/>
      <c r="E124" s="300"/>
      <c r="F124" s="300"/>
      <c r="G124" s="300"/>
    </row>
    <row r="125" spans="1:102" s="25" customFormat="1" ht="24.95" customHeight="1">
      <c r="A125" s="290"/>
      <c r="B125" s="291" t="s">
        <v>6</v>
      </c>
      <c r="C125" s="291"/>
      <c r="D125" s="292" t="s">
        <v>47</v>
      </c>
      <c r="E125" s="293" t="s">
        <v>31</v>
      </c>
      <c r="F125" s="295" t="s">
        <v>4</v>
      </c>
      <c r="G125" s="296" t="s">
        <v>32</v>
      </c>
      <c r="H125" s="92"/>
      <c r="I125" s="92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</row>
    <row r="126" spans="1:102" s="7" customFormat="1" ht="24.95" customHeight="1">
      <c r="A126" s="290"/>
      <c r="B126" s="291"/>
      <c r="C126" s="291"/>
      <c r="D126" s="292"/>
      <c r="E126" s="294"/>
      <c r="F126" s="295"/>
      <c r="G126" s="296"/>
      <c r="H126" s="5"/>
      <c r="I126" s="5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  <c r="CE126" s="94"/>
      <c r="CF126" s="94"/>
      <c r="CG126" s="94"/>
      <c r="CH126" s="94"/>
      <c r="CI126" s="94"/>
      <c r="CJ126" s="94"/>
      <c r="CK126" s="94"/>
      <c r="CL126" s="94"/>
      <c r="CM126" s="94"/>
      <c r="CN126" s="94"/>
      <c r="CO126" s="94"/>
      <c r="CP126" s="94"/>
      <c r="CQ126" s="94"/>
      <c r="CR126" s="94"/>
      <c r="CS126" s="94"/>
      <c r="CT126" s="94"/>
      <c r="CU126" s="94"/>
      <c r="CV126" s="94"/>
      <c r="CW126" s="94"/>
      <c r="CX126" s="94"/>
    </row>
    <row r="127" spans="1:7" ht="24.95" customHeight="1">
      <c r="A127" s="9"/>
      <c r="B127" s="336" t="s">
        <v>11</v>
      </c>
      <c r="C127" s="336"/>
      <c r="D127" s="336"/>
      <c r="E127" s="336"/>
      <c r="F127" s="336"/>
      <c r="G127" s="336"/>
    </row>
    <row r="128" spans="1:102" s="24" customFormat="1" ht="24.75" customHeight="1">
      <c r="A128" s="23" t="s">
        <v>16</v>
      </c>
      <c r="B128" s="281" t="s">
        <v>292</v>
      </c>
      <c r="C128" s="282"/>
      <c r="D128" s="28" t="s">
        <v>59</v>
      </c>
      <c r="E128" s="385">
        <v>1</v>
      </c>
      <c r="F128" s="51"/>
      <c r="G128" s="68">
        <f aca="true" t="shared" si="5" ref="G128:G135">E128*F128</f>
        <v>0</v>
      </c>
      <c r="H128" s="97"/>
      <c r="I128" s="98"/>
      <c r="J128" s="85"/>
      <c r="K128" s="90"/>
      <c r="L128" s="90"/>
      <c r="M128" s="90"/>
      <c r="N128" s="90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91"/>
      <c r="CG128" s="91"/>
      <c r="CH128" s="91"/>
      <c r="CI128" s="91"/>
      <c r="CJ128" s="91"/>
      <c r="CK128" s="91"/>
      <c r="CL128" s="91"/>
      <c r="CM128" s="91"/>
      <c r="CN128" s="91"/>
      <c r="CO128" s="91"/>
      <c r="CP128" s="91"/>
      <c r="CQ128" s="91"/>
      <c r="CR128" s="91"/>
      <c r="CS128" s="91"/>
      <c r="CT128" s="91"/>
      <c r="CU128" s="91"/>
      <c r="CV128" s="91"/>
      <c r="CW128" s="91"/>
      <c r="CX128" s="91"/>
    </row>
    <row r="129" spans="1:102" s="24" customFormat="1" ht="24.95" customHeight="1">
      <c r="A129" s="28" t="s">
        <v>23</v>
      </c>
      <c r="B129" s="337" t="s">
        <v>20</v>
      </c>
      <c r="C129" s="338"/>
      <c r="D129" s="22" t="s">
        <v>9</v>
      </c>
      <c r="E129" s="274">
        <v>770.4</v>
      </c>
      <c r="F129" s="17"/>
      <c r="G129" s="68">
        <f t="shared" si="5"/>
        <v>0</v>
      </c>
      <c r="H129" s="90"/>
      <c r="I129" s="90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  <c r="BZ129" s="91"/>
      <c r="CA129" s="91"/>
      <c r="CB129" s="91"/>
      <c r="CC129" s="91"/>
      <c r="CD129" s="91"/>
      <c r="CE129" s="91"/>
      <c r="CF129" s="91"/>
      <c r="CG129" s="91"/>
      <c r="CH129" s="91"/>
      <c r="CI129" s="91"/>
      <c r="CJ129" s="91"/>
      <c r="CK129" s="91"/>
      <c r="CL129" s="91"/>
      <c r="CM129" s="91"/>
      <c r="CN129" s="91"/>
      <c r="CO129" s="91"/>
      <c r="CP129" s="91"/>
      <c r="CQ129" s="91"/>
      <c r="CR129" s="91"/>
      <c r="CS129" s="91"/>
      <c r="CT129" s="91"/>
      <c r="CU129" s="91"/>
      <c r="CV129" s="91"/>
      <c r="CW129" s="91"/>
      <c r="CX129" s="91"/>
    </row>
    <row r="130" spans="1:102" s="24" customFormat="1" ht="24.95" customHeight="1">
      <c r="A130" s="22" t="s">
        <v>17</v>
      </c>
      <c r="B130" s="382" t="s">
        <v>41</v>
      </c>
      <c r="C130" s="337"/>
      <c r="D130" s="22" t="s">
        <v>22</v>
      </c>
      <c r="E130" s="274">
        <v>0.616</v>
      </c>
      <c r="F130" s="17"/>
      <c r="G130" s="68">
        <f t="shared" si="5"/>
        <v>0</v>
      </c>
      <c r="H130" s="90"/>
      <c r="I130" s="90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  <c r="CP130" s="91"/>
      <c r="CQ130" s="91"/>
      <c r="CR130" s="91"/>
      <c r="CS130" s="91"/>
      <c r="CT130" s="91"/>
      <c r="CU130" s="91"/>
      <c r="CV130" s="91"/>
      <c r="CW130" s="91"/>
      <c r="CX130" s="91"/>
    </row>
    <row r="131" spans="1:102" s="24" customFormat="1" ht="24.95" customHeight="1">
      <c r="A131" s="28" t="s">
        <v>25</v>
      </c>
      <c r="B131" s="382" t="s">
        <v>114</v>
      </c>
      <c r="C131" s="337"/>
      <c r="D131" s="22" t="s">
        <v>9</v>
      </c>
      <c r="E131" s="274">
        <v>770.4</v>
      </c>
      <c r="F131" s="17"/>
      <c r="G131" s="68">
        <f t="shared" si="5"/>
        <v>0</v>
      </c>
      <c r="H131" s="90"/>
      <c r="I131" s="90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</row>
    <row r="132" spans="1:102" s="81" customFormat="1" ht="24.95" customHeight="1">
      <c r="A132" s="79" t="s">
        <v>16</v>
      </c>
      <c r="B132" s="297" t="s">
        <v>55</v>
      </c>
      <c r="C132" s="313"/>
      <c r="D132" s="79" t="s">
        <v>14</v>
      </c>
      <c r="E132" s="386">
        <v>0.77</v>
      </c>
      <c r="F132" s="80"/>
      <c r="G132" s="68">
        <f t="shared" si="5"/>
        <v>0</v>
      </c>
      <c r="H132" s="99"/>
      <c r="I132" s="99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</row>
    <row r="133" spans="1:102" s="81" customFormat="1" ht="24.95" customHeight="1">
      <c r="A133" s="42" t="s">
        <v>17</v>
      </c>
      <c r="B133" s="337" t="s">
        <v>138</v>
      </c>
      <c r="C133" s="337"/>
      <c r="D133" s="22" t="s">
        <v>35</v>
      </c>
      <c r="E133" s="386">
        <v>754.5999999999999</v>
      </c>
      <c r="F133" s="80"/>
      <c r="G133" s="68">
        <f t="shared" si="5"/>
        <v>0</v>
      </c>
      <c r="H133" s="99"/>
      <c r="I133" s="99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100"/>
      <c r="BS133" s="100"/>
      <c r="BT133" s="100"/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/>
      <c r="CE133" s="100"/>
      <c r="CF133" s="100"/>
      <c r="CG133" s="100"/>
      <c r="CH133" s="100"/>
      <c r="CI133" s="100"/>
      <c r="CJ133" s="100"/>
      <c r="CK133" s="100"/>
      <c r="CL133" s="100"/>
      <c r="CM133" s="100"/>
      <c r="CN133" s="100"/>
      <c r="CO133" s="100"/>
      <c r="CP133" s="100"/>
      <c r="CQ133" s="100"/>
      <c r="CR133" s="100"/>
      <c r="CS133" s="100"/>
      <c r="CT133" s="100"/>
      <c r="CU133" s="100"/>
      <c r="CV133" s="100"/>
      <c r="CW133" s="100"/>
      <c r="CX133" s="100"/>
    </row>
    <row r="134" spans="1:102" s="81" customFormat="1" ht="24.95" customHeight="1">
      <c r="A134" s="42" t="s">
        <v>17</v>
      </c>
      <c r="B134" s="378" t="s">
        <v>139</v>
      </c>
      <c r="C134" s="379"/>
      <c r="D134" s="22" t="s">
        <v>8</v>
      </c>
      <c r="E134" s="386">
        <v>2264</v>
      </c>
      <c r="F134" s="80"/>
      <c r="G134" s="68">
        <f t="shared" si="5"/>
        <v>0</v>
      </c>
      <c r="H134" s="99"/>
      <c r="I134" s="99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100"/>
      <c r="BS134" s="100"/>
      <c r="BT134" s="100"/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00"/>
      <c r="CI134" s="100"/>
      <c r="CJ134" s="100"/>
      <c r="CK134" s="100"/>
      <c r="CL134" s="100"/>
      <c r="CM134" s="100"/>
      <c r="CN134" s="100"/>
      <c r="CO134" s="100"/>
      <c r="CP134" s="100"/>
      <c r="CQ134" s="100"/>
      <c r="CR134" s="100"/>
      <c r="CS134" s="100"/>
      <c r="CT134" s="100"/>
      <c r="CU134" s="100"/>
      <c r="CV134" s="100"/>
      <c r="CW134" s="100"/>
      <c r="CX134" s="100"/>
    </row>
    <row r="135" spans="1:102" s="81" customFormat="1" ht="24.95" customHeight="1">
      <c r="A135" s="22" t="s">
        <v>16</v>
      </c>
      <c r="B135" s="337" t="s">
        <v>140</v>
      </c>
      <c r="C135" s="337"/>
      <c r="D135" s="22" t="s">
        <v>35</v>
      </c>
      <c r="E135" s="386">
        <v>754.5999999999999</v>
      </c>
      <c r="F135" s="80"/>
      <c r="G135" s="68">
        <f t="shared" si="5"/>
        <v>0</v>
      </c>
      <c r="H135" s="99"/>
      <c r="I135" s="99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100"/>
      <c r="BS135" s="100"/>
      <c r="BT135" s="100"/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0"/>
      <c r="CF135" s="100"/>
      <c r="CG135" s="100"/>
      <c r="CH135" s="100"/>
      <c r="CI135" s="100"/>
      <c r="CJ135" s="100"/>
      <c r="CK135" s="100"/>
      <c r="CL135" s="100"/>
      <c r="CM135" s="100"/>
      <c r="CN135" s="100"/>
      <c r="CO135" s="100"/>
      <c r="CP135" s="100"/>
      <c r="CQ135" s="100"/>
      <c r="CR135" s="100"/>
      <c r="CS135" s="100"/>
      <c r="CT135" s="100"/>
      <c r="CU135" s="100"/>
      <c r="CV135" s="100"/>
      <c r="CW135" s="100"/>
      <c r="CX135" s="100"/>
    </row>
    <row r="136" spans="1:7" ht="24.95" customHeight="1">
      <c r="A136" s="9"/>
      <c r="B136" s="360" t="s">
        <v>12</v>
      </c>
      <c r="C136" s="360"/>
      <c r="D136" s="56"/>
      <c r="E136" s="56"/>
      <c r="F136" s="108"/>
      <c r="G136" s="109">
        <f>SUM(G128:G135)</f>
        <v>0</v>
      </c>
    </row>
    <row r="137" spans="1:102" s="25" customFormat="1" ht="24.95" customHeight="1">
      <c r="A137" s="290"/>
      <c r="B137" s="291" t="s">
        <v>6</v>
      </c>
      <c r="C137" s="291"/>
      <c r="D137" s="292" t="s">
        <v>47</v>
      </c>
      <c r="E137" s="293" t="s">
        <v>31</v>
      </c>
      <c r="F137" s="295" t="s">
        <v>4</v>
      </c>
      <c r="G137" s="296" t="s">
        <v>32</v>
      </c>
      <c r="H137" s="92"/>
      <c r="I137" s="92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</row>
    <row r="138" spans="1:102" s="7" customFormat="1" ht="24.95" customHeight="1">
      <c r="A138" s="290"/>
      <c r="B138" s="291"/>
      <c r="C138" s="291"/>
      <c r="D138" s="292"/>
      <c r="E138" s="294"/>
      <c r="F138" s="295"/>
      <c r="G138" s="296"/>
      <c r="H138" s="5"/>
      <c r="I138" s="5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CC138" s="94"/>
      <c r="CD138" s="94"/>
      <c r="CE138" s="94"/>
      <c r="CF138" s="94"/>
      <c r="CG138" s="94"/>
      <c r="CH138" s="94"/>
      <c r="CI138" s="94"/>
      <c r="CJ138" s="94"/>
      <c r="CK138" s="94"/>
      <c r="CL138" s="94"/>
      <c r="CM138" s="94"/>
      <c r="CN138" s="94"/>
      <c r="CO138" s="94"/>
      <c r="CP138" s="94"/>
      <c r="CQ138" s="94"/>
      <c r="CR138" s="94"/>
      <c r="CS138" s="94"/>
      <c r="CT138" s="94"/>
      <c r="CU138" s="94"/>
      <c r="CV138" s="94"/>
      <c r="CW138" s="94"/>
      <c r="CX138" s="94"/>
    </row>
    <row r="139" spans="1:7" ht="24.95" customHeight="1">
      <c r="A139" s="8"/>
      <c r="B139" s="336" t="s">
        <v>24</v>
      </c>
      <c r="C139" s="336"/>
      <c r="D139" s="336"/>
      <c r="E139" s="336"/>
      <c r="F139" s="336"/>
      <c r="G139" s="336"/>
    </row>
    <row r="140" spans="1:7" ht="24.95" customHeight="1">
      <c r="A140" s="27" t="s">
        <v>16</v>
      </c>
      <c r="B140" s="330" t="s">
        <v>44</v>
      </c>
      <c r="C140" s="330"/>
      <c r="D140" s="33" t="s">
        <v>8</v>
      </c>
      <c r="E140" s="26">
        <f>SUM(E72,E67)</f>
        <v>1973</v>
      </c>
      <c r="F140" s="17"/>
      <c r="G140" s="68">
        <f aca="true" t="shared" si="6" ref="G140:G156">E140*F140</f>
        <v>0</v>
      </c>
    </row>
    <row r="141" spans="1:7" ht="24.95" customHeight="1">
      <c r="A141" s="13" t="s">
        <v>33</v>
      </c>
      <c r="B141" s="284" t="s">
        <v>26</v>
      </c>
      <c r="C141" s="284"/>
      <c r="D141" s="9" t="s">
        <v>8</v>
      </c>
      <c r="E141" s="26">
        <f>SUM(E67)</f>
        <v>1486</v>
      </c>
      <c r="F141" s="17"/>
      <c r="G141" s="68">
        <f t="shared" si="6"/>
        <v>0</v>
      </c>
    </row>
    <row r="142" spans="1:7" ht="24.95" customHeight="1">
      <c r="A142" s="14" t="s">
        <v>250</v>
      </c>
      <c r="B142" s="312" t="s">
        <v>251</v>
      </c>
      <c r="C142" s="312"/>
      <c r="D142" s="115" t="s">
        <v>8</v>
      </c>
      <c r="E142" s="26">
        <f>SUM(E72)</f>
        <v>487</v>
      </c>
      <c r="F142" s="17"/>
      <c r="G142" s="68">
        <f t="shared" si="6"/>
        <v>0</v>
      </c>
    </row>
    <row r="143" spans="1:7" ht="24.95" customHeight="1">
      <c r="A143" s="13" t="s">
        <v>27</v>
      </c>
      <c r="B143" s="335" t="s">
        <v>28</v>
      </c>
      <c r="C143" s="335"/>
      <c r="D143" s="8" t="s">
        <v>8</v>
      </c>
      <c r="E143" s="26">
        <f>E141</f>
        <v>1486</v>
      </c>
      <c r="F143" s="10"/>
      <c r="G143" s="68">
        <f t="shared" si="6"/>
        <v>0</v>
      </c>
    </row>
    <row r="144" spans="1:7" ht="24.95" customHeight="1">
      <c r="A144" s="14" t="s">
        <v>252</v>
      </c>
      <c r="B144" s="299" t="s">
        <v>253</v>
      </c>
      <c r="C144" s="299"/>
      <c r="D144" s="14" t="s">
        <v>8</v>
      </c>
      <c r="E144" s="26">
        <f>E142</f>
        <v>487</v>
      </c>
      <c r="F144" s="10"/>
      <c r="G144" s="68">
        <f t="shared" si="6"/>
        <v>0</v>
      </c>
    </row>
    <row r="145" spans="1:7" ht="24.95" customHeight="1">
      <c r="A145" s="23" t="s">
        <v>51</v>
      </c>
      <c r="B145" s="281" t="s">
        <v>52</v>
      </c>
      <c r="C145" s="281"/>
      <c r="D145" s="64" t="s">
        <v>10</v>
      </c>
      <c r="E145" s="30">
        <f>ROUND((E154*0.02),2)</f>
        <v>10.66</v>
      </c>
      <c r="F145" s="17"/>
      <c r="G145" s="68">
        <f t="shared" si="6"/>
        <v>0</v>
      </c>
    </row>
    <row r="146" spans="1:7" ht="24.95" customHeight="1">
      <c r="A146" s="9" t="s">
        <v>17</v>
      </c>
      <c r="B146" s="333" t="s">
        <v>30</v>
      </c>
      <c r="C146" s="333"/>
      <c r="D146" s="16" t="s">
        <v>10</v>
      </c>
      <c r="E146" s="20">
        <f>ROUND(SUM(E141*0.01),2)</f>
        <v>14.86</v>
      </c>
      <c r="F146" s="19"/>
      <c r="G146" s="68">
        <f t="shared" si="6"/>
        <v>0</v>
      </c>
    </row>
    <row r="147" spans="1:7" ht="24.95" customHeight="1">
      <c r="A147" s="14" t="s">
        <v>17</v>
      </c>
      <c r="B147" s="383" t="s">
        <v>254</v>
      </c>
      <c r="C147" s="383"/>
      <c r="D147" s="16" t="s">
        <v>10</v>
      </c>
      <c r="E147" s="20">
        <f>ROUND(SUM(E142*0.025),2)</f>
        <v>12.18</v>
      </c>
      <c r="F147" s="19"/>
      <c r="G147" s="68">
        <f t="shared" si="6"/>
        <v>0</v>
      </c>
    </row>
    <row r="148" spans="1:7" ht="24.95" customHeight="1">
      <c r="A148" s="9" t="s">
        <v>17</v>
      </c>
      <c r="B148" s="310" t="s">
        <v>130</v>
      </c>
      <c r="C148" s="311"/>
      <c r="D148" s="8" t="s">
        <v>8</v>
      </c>
      <c r="E148" s="9">
        <f>SUM(E141*1)</f>
        <v>1486</v>
      </c>
      <c r="F148" s="10"/>
      <c r="G148" s="68">
        <f t="shared" si="6"/>
        <v>0</v>
      </c>
    </row>
    <row r="149" spans="1:7" ht="24.95" customHeight="1">
      <c r="A149" s="115" t="s">
        <v>17</v>
      </c>
      <c r="B149" s="331" t="s">
        <v>255</v>
      </c>
      <c r="C149" s="331"/>
      <c r="D149" s="14" t="s">
        <v>8</v>
      </c>
      <c r="E149" s="9">
        <f>E142*3</f>
        <v>1461</v>
      </c>
      <c r="F149" s="10"/>
      <c r="G149" s="68">
        <f t="shared" si="6"/>
        <v>0</v>
      </c>
    </row>
    <row r="150" spans="1:7" ht="24.95" customHeight="1">
      <c r="A150" s="8" t="s">
        <v>17</v>
      </c>
      <c r="B150" s="310" t="s">
        <v>131</v>
      </c>
      <c r="C150" s="311"/>
      <c r="D150" s="8" t="s">
        <v>13</v>
      </c>
      <c r="E150" s="30">
        <f>ROUND(SUM(E141*10/1000),2)</f>
        <v>14.86</v>
      </c>
      <c r="F150" s="10"/>
      <c r="G150" s="68">
        <f t="shared" si="6"/>
        <v>0</v>
      </c>
    </row>
    <row r="151" spans="1:7" ht="24.95" customHeight="1">
      <c r="A151" s="14" t="s">
        <v>17</v>
      </c>
      <c r="B151" s="331" t="s">
        <v>256</v>
      </c>
      <c r="C151" s="331"/>
      <c r="D151" s="14" t="s">
        <v>13</v>
      </c>
      <c r="E151" s="185">
        <f>ROUND(SUM(E142*20/1000),2)</f>
        <v>9.74</v>
      </c>
      <c r="F151" s="10"/>
      <c r="G151" s="68">
        <f t="shared" si="6"/>
        <v>0</v>
      </c>
    </row>
    <row r="152" spans="1:7" ht="24.95" customHeight="1">
      <c r="A152" s="13" t="s">
        <v>21</v>
      </c>
      <c r="B152" s="334" t="s">
        <v>68</v>
      </c>
      <c r="C152" s="335"/>
      <c r="D152" s="8" t="s">
        <v>9</v>
      </c>
      <c r="E152" s="30">
        <f>ROUND(SUM(E154*1.05),2)</f>
        <v>559.55</v>
      </c>
      <c r="F152" s="10"/>
      <c r="G152" s="68">
        <f t="shared" si="6"/>
        <v>0</v>
      </c>
    </row>
    <row r="153" spans="1:7" ht="24.95" customHeight="1">
      <c r="A153" s="8" t="s">
        <v>17</v>
      </c>
      <c r="B153" s="334" t="s">
        <v>113</v>
      </c>
      <c r="C153" s="335"/>
      <c r="D153" s="8" t="s">
        <v>9</v>
      </c>
      <c r="E153" s="30">
        <f>ROUND(SUM(E152:E152),2)</f>
        <v>559.55</v>
      </c>
      <c r="F153" s="10"/>
      <c r="G153" s="68">
        <f t="shared" si="6"/>
        <v>0</v>
      </c>
    </row>
    <row r="154" spans="1:7" ht="24.95" customHeight="1">
      <c r="A154" s="23" t="s">
        <v>18</v>
      </c>
      <c r="B154" s="335" t="s">
        <v>15</v>
      </c>
      <c r="C154" s="335"/>
      <c r="D154" s="8" t="s">
        <v>9</v>
      </c>
      <c r="E154" s="30">
        <v>532.9</v>
      </c>
      <c r="F154" s="10"/>
      <c r="G154" s="68">
        <f t="shared" si="6"/>
        <v>0</v>
      </c>
    </row>
    <row r="155" spans="1:7" ht="24.95" customHeight="1">
      <c r="A155" s="9" t="s">
        <v>17</v>
      </c>
      <c r="B155" s="334" t="s">
        <v>29</v>
      </c>
      <c r="C155" s="335"/>
      <c r="D155" s="8" t="s">
        <v>10</v>
      </c>
      <c r="E155" s="30">
        <f>SUM(E154*0.1)</f>
        <v>53.29</v>
      </c>
      <c r="F155" s="10"/>
      <c r="G155" s="68">
        <f t="shared" si="6"/>
        <v>0</v>
      </c>
    </row>
    <row r="156" spans="1:102" s="81" customFormat="1" ht="24.95" customHeight="1">
      <c r="A156" s="79" t="s">
        <v>57</v>
      </c>
      <c r="B156" s="297" t="s">
        <v>56</v>
      </c>
      <c r="C156" s="297"/>
      <c r="D156" s="79" t="s">
        <v>14</v>
      </c>
      <c r="E156" s="177">
        <f>ROUND(((E146*0.001)+(E147*1.8)),3)</f>
        <v>21.939</v>
      </c>
      <c r="F156" s="80"/>
      <c r="G156" s="68">
        <f t="shared" si="6"/>
        <v>0</v>
      </c>
      <c r="H156" s="99"/>
      <c r="I156" s="99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100"/>
      <c r="BS156" s="100"/>
      <c r="BT156" s="100"/>
      <c r="BU156" s="100"/>
      <c r="BV156" s="100"/>
      <c r="BW156" s="100"/>
      <c r="BX156" s="100"/>
      <c r="BY156" s="100"/>
      <c r="BZ156" s="100"/>
      <c r="CA156" s="100"/>
      <c r="CB156" s="100"/>
      <c r="CC156" s="100"/>
      <c r="CD156" s="100"/>
      <c r="CE156" s="100"/>
      <c r="CF156" s="100"/>
      <c r="CG156" s="100"/>
      <c r="CH156" s="100"/>
      <c r="CI156" s="100"/>
      <c r="CJ156" s="100"/>
      <c r="CK156" s="100"/>
      <c r="CL156" s="100"/>
      <c r="CM156" s="100"/>
      <c r="CN156" s="100"/>
      <c r="CO156" s="100"/>
      <c r="CP156" s="100"/>
      <c r="CQ156" s="100"/>
      <c r="CR156" s="100"/>
      <c r="CS156" s="100"/>
      <c r="CT156" s="100"/>
      <c r="CU156" s="100"/>
      <c r="CV156" s="100"/>
      <c r="CW156" s="100"/>
      <c r="CX156" s="100"/>
    </row>
    <row r="157" spans="1:7" ht="24.95" customHeight="1">
      <c r="A157" s="8"/>
      <c r="B157" s="360" t="s">
        <v>65</v>
      </c>
      <c r="C157" s="360"/>
      <c r="D157" s="56"/>
      <c r="E157" s="56"/>
      <c r="F157" s="108"/>
      <c r="G157" s="109">
        <f>SUM(G140:G156)</f>
        <v>0</v>
      </c>
    </row>
    <row r="158" spans="1:102" s="25" customFormat="1" ht="24.95" customHeight="1">
      <c r="A158" s="290"/>
      <c r="B158" s="291" t="s">
        <v>6</v>
      </c>
      <c r="C158" s="291"/>
      <c r="D158" s="292" t="s">
        <v>47</v>
      </c>
      <c r="E158" s="293" t="s">
        <v>31</v>
      </c>
      <c r="F158" s="295" t="s">
        <v>4</v>
      </c>
      <c r="G158" s="296" t="s">
        <v>32</v>
      </c>
      <c r="H158" s="92"/>
      <c r="I158" s="92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93"/>
      <c r="BW158" s="93"/>
      <c r="BX158" s="93"/>
      <c r="BY158" s="93"/>
      <c r="BZ158" s="93"/>
      <c r="CA158" s="93"/>
      <c r="CB158" s="93"/>
      <c r="CC158" s="93"/>
      <c r="CD158" s="93"/>
      <c r="CE158" s="93"/>
      <c r="CF158" s="93"/>
      <c r="CG158" s="93"/>
      <c r="CH158" s="93"/>
      <c r="CI158" s="93"/>
      <c r="CJ158" s="93"/>
      <c r="CK158" s="93"/>
      <c r="CL158" s="93"/>
      <c r="CM158" s="93"/>
      <c r="CN158" s="93"/>
      <c r="CO158" s="93"/>
      <c r="CP158" s="93"/>
      <c r="CQ158" s="93"/>
      <c r="CR158" s="93"/>
      <c r="CS158" s="93"/>
      <c r="CT158" s="93"/>
      <c r="CU158" s="93"/>
      <c r="CV158" s="93"/>
      <c r="CW158" s="93"/>
      <c r="CX158" s="93"/>
    </row>
    <row r="159" spans="1:102" s="7" customFormat="1" ht="24.95" customHeight="1">
      <c r="A159" s="290"/>
      <c r="B159" s="291"/>
      <c r="C159" s="291"/>
      <c r="D159" s="292"/>
      <c r="E159" s="294"/>
      <c r="F159" s="295"/>
      <c r="G159" s="296"/>
      <c r="H159" s="5"/>
      <c r="I159" s="5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  <c r="BJ159" s="94"/>
      <c r="BK159" s="94"/>
      <c r="BL159" s="94"/>
      <c r="BM159" s="94"/>
      <c r="BN159" s="94"/>
      <c r="BO159" s="94"/>
      <c r="BP159" s="94"/>
      <c r="BQ159" s="94"/>
      <c r="BR159" s="94"/>
      <c r="BS159" s="94"/>
      <c r="BT159" s="94"/>
      <c r="BU159" s="94"/>
      <c r="BV159" s="94"/>
      <c r="BW159" s="94"/>
      <c r="BX159" s="94"/>
      <c r="BY159" s="94"/>
      <c r="BZ159" s="94"/>
      <c r="CA159" s="94"/>
      <c r="CB159" s="94"/>
      <c r="CC159" s="94"/>
      <c r="CD159" s="94"/>
      <c r="CE159" s="94"/>
      <c r="CF159" s="94"/>
      <c r="CG159" s="94"/>
      <c r="CH159" s="94"/>
      <c r="CI159" s="94"/>
      <c r="CJ159" s="94"/>
      <c r="CK159" s="94"/>
      <c r="CL159" s="94"/>
      <c r="CM159" s="94"/>
      <c r="CN159" s="94"/>
      <c r="CO159" s="94"/>
      <c r="CP159" s="94"/>
      <c r="CQ159" s="94"/>
      <c r="CR159" s="94"/>
      <c r="CS159" s="94"/>
      <c r="CT159" s="94"/>
      <c r="CU159" s="94"/>
      <c r="CV159" s="94"/>
      <c r="CW159" s="94"/>
      <c r="CX159" s="94"/>
    </row>
    <row r="160" spans="1:8" ht="24.95" customHeight="1">
      <c r="A160" s="9"/>
      <c r="B160" s="332" t="s">
        <v>257</v>
      </c>
      <c r="C160" s="332"/>
      <c r="D160" s="332"/>
      <c r="E160" s="332"/>
      <c r="F160" s="332"/>
      <c r="G160" s="332"/>
      <c r="H160" s="85"/>
    </row>
    <row r="161" spans="1:8" ht="24.95" customHeight="1">
      <c r="A161" s="27" t="s">
        <v>16</v>
      </c>
      <c r="B161" s="330" t="s">
        <v>44</v>
      </c>
      <c r="C161" s="330"/>
      <c r="D161" s="33" t="s">
        <v>8</v>
      </c>
      <c r="E161" s="78">
        <f>E85</f>
        <v>928</v>
      </c>
      <c r="F161" s="10"/>
      <c r="G161" s="68">
        <f aca="true" t="shared" si="7" ref="G161:G167">E161*F161</f>
        <v>0</v>
      </c>
      <c r="H161" s="85"/>
    </row>
    <row r="162" spans="1:8" ht="24.95" customHeight="1">
      <c r="A162" s="35" t="s">
        <v>115</v>
      </c>
      <c r="B162" s="329" t="s">
        <v>116</v>
      </c>
      <c r="C162" s="330"/>
      <c r="D162" s="52" t="s">
        <v>8</v>
      </c>
      <c r="E162" s="78">
        <f>E161</f>
        <v>928</v>
      </c>
      <c r="F162" s="110"/>
      <c r="G162" s="68">
        <f t="shared" si="7"/>
        <v>0</v>
      </c>
      <c r="H162" s="59"/>
    </row>
    <row r="163" spans="1:8" ht="24.95" customHeight="1">
      <c r="A163" s="23" t="s">
        <v>51</v>
      </c>
      <c r="B163" s="281" t="s">
        <v>52</v>
      </c>
      <c r="C163" s="281"/>
      <c r="D163" s="64" t="s">
        <v>10</v>
      </c>
      <c r="E163" s="30">
        <f>ROUND((E165*0.02),2)</f>
        <v>4.75</v>
      </c>
      <c r="F163" s="17"/>
      <c r="G163" s="68">
        <f t="shared" si="7"/>
        <v>0</v>
      </c>
      <c r="H163" s="59"/>
    </row>
    <row r="164" spans="1:8" ht="24.95" customHeight="1">
      <c r="A164" s="9" t="s">
        <v>17</v>
      </c>
      <c r="B164" s="333" t="s">
        <v>30</v>
      </c>
      <c r="C164" s="333"/>
      <c r="D164" s="16" t="s">
        <v>10</v>
      </c>
      <c r="E164" s="20">
        <f>ROUND((E161*0.01),2)</f>
        <v>9.28</v>
      </c>
      <c r="F164" s="19"/>
      <c r="G164" s="68">
        <f t="shared" si="7"/>
        <v>0</v>
      </c>
      <c r="H164" s="59"/>
    </row>
    <row r="165" spans="1:8" ht="24.95" customHeight="1">
      <c r="A165" s="79" t="s">
        <v>18</v>
      </c>
      <c r="B165" s="305" t="s">
        <v>15</v>
      </c>
      <c r="C165" s="305"/>
      <c r="D165" s="53" t="s">
        <v>9</v>
      </c>
      <c r="E165" s="176">
        <v>237.5</v>
      </c>
      <c r="F165" s="62"/>
      <c r="G165" s="68">
        <f t="shared" si="7"/>
        <v>0</v>
      </c>
      <c r="H165" s="60"/>
    </row>
    <row r="166" spans="1:8" ht="24.95" customHeight="1">
      <c r="A166" s="42" t="s">
        <v>17</v>
      </c>
      <c r="B166" s="305" t="s">
        <v>29</v>
      </c>
      <c r="C166" s="305"/>
      <c r="D166" s="53" t="s">
        <v>10</v>
      </c>
      <c r="E166" s="55">
        <f>E165*0.1</f>
        <v>23.75</v>
      </c>
      <c r="F166" s="63"/>
      <c r="G166" s="68">
        <f t="shared" si="7"/>
        <v>0</v>
      </c>
      <c r="H166" s="60"/>
    </row>
    <row r="167" spans="1:102" s="81" customFormat="1" ht="24.95" customHeight="1">
      <c r="A167" s="79" t="s">
        <v>57</v>
      </c>
      <c r="B167" s="297" t="s">
        <v>56</v>
      </c>
      <c r="C167" s="297"/>
      <c r="D167" s="79" t="s">
        <v>14</v>
      </c>
      <c r="E167" s="177">
        <f>ROUND(((E164*1.8)),3)</f>
        <v>16.704</v>
      </c>
      <c r="F167" s="80"/>
      <c r="G167" s="68">
        <f t="shared" si="7"/>
        <v>0</v>
      </c>
      <c r="H167" s="99"/>
      <c r="I167" s="99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100"/>
      <c r="BS167" s="100"/>
      <c r="BT167" s="100"/>
      <c r="BU167" s="100"/>
      <c r="BV167" s="100"/>
      <c r="BW167" s="100"/>
      <c r="BX167" s="100"/>
      <c r="BY167" s="100"/>
      <c r="BZ167" s="100"/>
      <c r="CA167" s="100"/>
      <c r="CB167" s="100"/>
      <c r="CC167" s="100"/>
      <c r="CD167" s="100"/>
      <c r="CE167" s="100"/>
      <c r="CF167" s="100"/>
      <c r="CG167" s="100"/>
      <c r="CH167" s="100"/>
      <c r="CI167" s="100"/>
      <c r="CJ167" s="100"/>
      <c r="CK167" s="100"/>
      <c r="CL167" s="100"/>
      <c r="CM167" s="100"/>
      <c r="CN167" s="100"/>
      <c r="CO167" s="100"/>
      <c r="CP167" s="100"/>
      <c r="CQ167" s="100"/>
      <c r="CR167" s="100"/>
      <c r="CS167" s="100"/>
      <c r="CT167" s="100"/>
      <c r="CU167" s="100"/>
      <c r="CV167" s="100"/>
      <c r="CW167" s="100"/>
      <c r="CX167" s="100"/>
    </row>
    <row r="168" spans="1:8" ht="24.95" customHeight="1">
      <c r="A168" s="9"/>
      <c r="B168" s="318" t="s">
        <v>258</v>
      </c>
      <c r="C168" s="318"/>
      <c r="D168" s="56"/>
      <c r="E168" s="56"/>
      <c r="F168" s="57"/>
      <c r="G168" s="109">
        <f>SUM(G161:G167)</f>
        <v>0</v>
      </c>
      <c r="H168" s="61"/>
    </row>
    <row r="169" spans="1:10" s="81" customFormat="1" ht="24.95" customHeight="1">
      <c r="A169" s="118"/>
      <c r="B169" s="376" t="s">
        <v>259</v>
      </c>
      <c r="C169" s="377"/>
      <c r="D169" s="377"/>
      <c r="E169" s="377"/>
      <c r="F169" s="377"/>
      <c r="G169" s="377"/>
      <c r="H169" s="207"/>
      <c r="I169" s="208"/>
      <c r="J169" s="208"/>
    </row>
    <row r="170" spans="1:102" ht="24.95" customHeight="1">
      <c r="A170" s="187" t="s">
        <v>260</v>
      </c>
      <c r="B170" s="358" t="s">
        <v>270</v>
      </c>
      <c r="C170" s="359"/>
      <c r="D170" s="188" t="s">
        <v>10</v>
      </c>
      <c r="E170" s="189">
        <f>88*0.17</f>
        <v>14.96</v>
      </c>
      <c r="F170" s="190"/>
      <c r="G170" s="68">
        <f aca="true" t="shared" si="8" ref="G170:G180">E170*F170</f>
        <v>0</v>
      </c>
      <c r="H170" s="186"/>
      <c r="I170" s="1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</row>
    <row r="171" spans="1:102" ht="24.95" customHeight="1">
      <c r="A171" s="187" t="s">
        <v>16</v>
      </c>
      <c r="B171" s="358" t="s">
        <v>261</v>
      </c>
      <c r="C171" s="359"/>
      <c r="D171" s="188" t="s">
        <v>14</v>
      </c>
      <c r="E171" s="189">
        <f>ROUND((E170*1.8),2)</f>
        <v>26.93</v>
      </c>
      <c r="F171" s="190"/>
      <c r="G171" s="68">
        <f t="shared" si="8"/>
        <v>0</v>
      </c>
      <c r="H171" s="186"/>
      <c r="I171" s="1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</row>
    <row r="172" spans="1:102" ht="24.95" customHeight="1">
      <c r="A172" s="115" t="s">
        <v>308</v>
      </c>
      <c r="B172" s="308" t="s">
        <v>309</v>
      </c>
      <c r="C172" s="308"/>
      <c r="D172" s="115" t="s">
        <v>9</v>
      </c>
      <c r="E172" s="189">
        <v>88</v>
      </c>
      <c r="F172" s="190"/>
      <c r="G172" s="68">
        <f t="shared" si="8"/>
        <v>0</v>
      </c>
      <c r="H172" s="186"/>
      <c r="I172" s="1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</row>
    <row r="173" spans="1:102" ht="24.95" customHeight="1">
      <c r="A173" s="118" t="s">
        <v>17</v>
      </c>
      <c r="B173" s="305" t="s">
        <v>262</v>
      </c>
      <c r="C173" s="305"/>
      <c r="D173" s="53" t="s">
        <v>14</v>
      </c>
      <c r="E173" s="189">
        <f>88*0.1*2</f>
        <v>17.6</v>
      </c>
      <c r="F173" s="63"/>
      <c r="G173" s="68">
        <f t="shared" si="8"/>
        <v>0</v>
      </c>
      <c r="H173" s="186"/>
      <c r="I173" s="1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</row>
    <row r="174" spans="1:102" ht="24.95" customHeight="1">
      <c r="A174" s="187" t="s">
        <v>16</v>
      </c>
      <c r="B174" s="320" t="s">
        <v>310</v>
      </c>
      <c r="C174" s="321"/>
      <c r="D174" s="115" t="s">
        <v>9</v>
      </c>
      <c r="E174" s="189">
        <v>88</v>
      </c>
      <c r="F174" s="254"/>
      <c r="G174" s="68">
        <f t="shared" si="8"/>
        <v>0</v>
      </c>
      <c r="H174" s="186"/>
      <c r="I174" s="1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</row>
    <row r="175" spans="1:102" ht="24.95" customHeight="1">
      <c r="A175" s="192" t="s">
        <v>16</v>
      </c>
      <c r="B175" s="327" t="s">
        <v>44</v>
      </c>
      <c r="C175" s="328"/>
      <c r="D175" s="193" t="s">
        <v>8</v>
      </c>
      <c r="E175" s="191">
        <f>SUM(E112,E121)</f>
        <v>2638</v>
      </c>
      <c r="F175" s="194"/>
      <c r="G175" s="68">
        <f t="shared" si="8"/>
        <v>0</v>
      </c>
      <c r="H175" s="186"/>
      <c r="I175" s="1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</row>
    <row r="176" spans="1:102" ht="24.95" customHeight="1">
      <c r="A176" s="195" t="s">
        <v>115</v>
      </c>
      <c r="B176" s="329" t="s">
        <v>116</v>
      </c>
      <c r="C176" s="330"/>
      <c r="D176" s="196" t="s">
        <v>8</v>
      </c>
      <c r="E176" s="78">
        <f>SUM(E112)</f>
        <v>790</v>
      </c>
      <c r="F176" s="197"/>
      <c r="G176" s="68">
        <f t="shared" si="8"/>
        <v>0</v>
      </c>
      <c r="H176" s="186"/>
      <c r="I176" s="1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</row>
    <row r="177" spans="1:102" ht="24.95" customHeight="1">
      <c r="A177" s="195" t="s">
        <v>263</v>
      </c>
      <c r="B177" s="329" t="s">
        <v>264</v>
      </c>
      <c r="C177" s="330"/>
      <c r="D177" s="196" t="s">
        <v>8</v>
      </c>
      <c r="E177" s="191">
        <f>SUM(E121)</f>
        <v>1848</v>
      </c>
      <c r="F177" s="194"/>
      <c r="G177" s="68">
        <f t="shared" si="8"/>
        <v>0</v>
      </c>
      <c r="H177" s="186"/>
      <c r="I177" s="1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</row>
    <row r="178" spans="1:102" ht="24.95" customHeight="1">
      <c r="A178" s="187" t="s">
        <v>51</v>
      </c>
      <c r="B178" s="314" t="s">
        <v>265</v>
      </c>
      <c r="C178" s="315"/>
      <c r="D178" s="198" t="s">
        <v>10</v>
      </c>
      <c r="E178" s="189">
        <f>88*0.02</f>
        <v>1.76</v>
      </c>
      <c r="F178" s="194"/>
      <c r="G178" s="68">
        <f t="shared" si="8"/>
        <v>0</v>
      </c>
      <c r="H178" s="186"/>
      <c r="I178" s="1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</row>
    <row r="179" spans="1:102" ht="24.95" customHeight="1">
      <c r="A179" s="11" t="s">
        <v>266</v>
      </c>
      <c r="B179" s="316" t="s">
        <v>267</v>
      </c>
      <c r="C179" s="317"/>
      <c r="D179" s="201" t="s">
        <v>9</v>
      </c>
      <c r="E179" s="202">
        <v>88</v>
      </c>
      <c r="F179" s="203"/>
      <c r="G179" s="68">
        <f t="shared" si="8"/>
        <v>0</v>
      </c>
      <c r="H179" s="204"/>
      <c r="I179" s="1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</row>
    <row r="180" spans="1:102" ht="24.95" customHeight="1">
      <c r="A180" s="205" t="s">
        <v>17</v>
      </c>
      <c r="B180" s="340" t="s">
        <v>268</v>
      </c>
      <c r="C180" s="340"/>
      <c r="D180" s="206" t="s">
        <v>14</v>
      </c>
      <c r="E180" s="202">
        <f>88*0.07*2</f>
        <v>12.32</v>
      </c>
      <c r="F180" s="203"/>
      <c r="G180" s="68">
        <f t="shared" si="8"/>
        <v>0</v>
      </c>
      <c r="H180" s="204"/>
      <c r="I180" s="1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</row>
    <row r="181" spans="1:102" ht="24.95" customHeight="1">
      <c r="A181" s="115"/>
      <c r="B181" s="318" t="s">
        <v>269</v>
      </c>
      <c r="C181" s="318"/>
      <c r="D181" s="199"/>
      <c r="E181" s="199"/>
      <c r="F181" s="57"/>
      <c r="G181" s="200">
        <f>SUM(G170:G180)</f>
        <v>0</v>
      </c>
      <c r="H181" s="186"/>
      <c r="I181" s="1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</row>
    <row r="182" spans="1:102" s="25" customFormat="1" ht="24.95" customHeight="1">
      <c r="A182" s="290"/>
      <c r="B182" s="291" t="s">
        <v>6</v>
      </c>
      <c r="C182" s="291"/>
      <c r="D182" s="292" t="s">
        <v>47</v>
      </c>
      <c r="E182" s="293" t="s">
        <v>31</v>
      </c>
      <c r="F182" s="295" t="s">
        <v>4</v>
      </c>
      <c r="G182" s="296" t="s">
        <v>32</v>
      </c>
      <c r="H182" s="92"/>
      <c r="I182" s="92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  <c r="BG182" s="93"/>
      <c r="BH182" s="93"/>
      <c r="BI182" s="93"/>
      <c r="BJ182" s="93"/>
      <c r="BK182" s="93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  <c r="BX182" s="93"/>
      <c r="BY182" s="93"/>
      <c r="BZ182" s="93"/>
      <c r="CA182" s="93"/>
      <c r="CB182" s="93"/>
      <c r="CC182" s="93"/>
      <c r="CD182" s="93"/>
      <c r="CE182" s="93"/>
      <c r="CF182" s="93"/>
      <c r="CG182" s="93"/>
      <c r="CH182" s="93"/>
      <c r="CI182" s="93"/>
      <c r="CJ182" s="93"/>
      <c r="CK182" s="93"/>
      <c r="CL182" s="93"/>
      <c r="CM182" s="93"/>
      <c r="CN182" s="93"/>
      <c r="CO182" s="93"/>
      <c r="CP182" s="93"/>
      <c r="CQ182" s="93"/>
      <c r="CR182" s="93"/>
      <c r="CS182" s="93"/>
      <c r="CT182" s="93"/>
      <c r="CU182" s="93"/>
      <c r="CV182" s="93"/>
      <c r="CW182" s="93"/>
      <c r="CX182" s="93"/>
    </row>
    <row r="183" spans="1:102" s="7" customFormat="1" ht="24.95" customHeight="1">
      <c r="A183" s="290"/>
      <c r="B183" s="291"/>
      <c r="C183" s="291"/>
      <c r="D183" s="292"/>
      <c r="E183" s="294"/>
      <c r="F183" s="295"/>
      <c r="G183" s="296"/>
      <c r="H183" s="5"/>
      <c r="I183" s="5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  <c r="BC183" s="94"/>
      <c r="BD183" s="94"/>
      <c r="BE183" s="94"/>
      <c r="BF183" s="94"/>
      <c r="BG183" s="94"/>
      <c r="BH183" s="94"/>
      <c r="BI183" s="94"/>
      <c r="BJ183" s="94"/>
      <c r="BK183" s="94"/>
      <c r="BL183" s="94"/>
      <c r="BM183" s="94"/>
      <c r="BN183" s="94"/>
      <c r="BO183" s="94"/>
      <c r="BP183" s="94"/>
      <c r="BQ183" s="94"/>
      <c r="BR183" s="94"/>
      <c r="BS183" s="94"/>
      <c r="BT183" s="94"/>
      <c r="BU183" s="94"/>
      <c r="BV183" s="94"/>
      <c r="BW183" s="94"/>
      <c r="BX183" s="94"/>
      <c r="BY183" s="94"/>
      <c r="BZ183" s="94"/>
      <c r="CA183" s="94"/>
      <c r="CB183" s="94"/>
      <c r="CC183" s="94"/>
      <c r="CD183" s="94"/>
      <c r="CE183" s="94"/>
      <c r="CF183" s="94"/>
      <c r="CG183" s="94"/>
      <c r="CH183" s="94"/>
      <c r="CI183" s="94"/>
      <c r="CJ183" s="94"/>
      <c r="CK183" s="94"/>
      <c r="CL183" s="94"/>
      <c r="CM183" s="94"/>
      <c r="CN183" s="94"/>
      <c r="CO183" s="94"/>
      <c r="CP183" s="94"/>
      <c r="CQ183" s="94"/>
      <c r="CR183" s="94"/>
      <c r="CS183" s="94"/>
      <c r="CT183" s="94"/>
      <c r="CU183" s="94"/>
      <c r="CV183" s="94"/>
      <c r="CW183" s="94"/>
      <c r="CX183" s="94"/>
    </row>
    <row r="184" spans="1:10" s="81" customFormat="1" ht="24.95" customHeight="1">
      <c r="A184" s="53"/>
      <c r="B184" s="280" t="s">
        <v>271</v>
      </c>
      <c r="C184" s="280"/>
      <c r="D184" s="280"/>
      <c r="E184" s="280"/>
      <c r="F184" s="280"/>
      <c r="G184" s="280"/>
      <c r="H184" s="208"/>
      <c r="I184" s="208"/>
      <c r="J184" s="208"/>
    </row>
    <row r="185" spans="1:10" s="81" customFormat="1" ht="24.95" customHeight="1">
      <c r="A185" s="9" t="s">
        <v>17</v>
      </c>
      <c r="B185" s="384" t="s">
        <v>311</v>
      </c>
      <c r="C185" s="289"/>
      <c r="D185" s="16" t="s">
        <v>14</v>
      </c>
      <c r="E185" s="54">
        <f>92.6*0.15*1.8*1.3</f>
        <v>32.5026</v>
      </c>
      <c r="F185" s="210"/>
      <c r="G185" s="68">
        <f aca="true" t="shared" si="9" ref="G185:G186">E185*F185</f>
        <v>0</v>
      </c>
      <c r="H185" s="208"/>
      <c r="I185" s="208"/>
      <c r="J185" s="208"/>
    </row>
    <row r="186" spans="1:102" ht="24.95" customHeight="1">
      <c r="A186" s="124" t="s">
        <v>276</v>
      </c>
      <c r="B186" s="384" t="s">
        <v>277</v>
      </c>
      <c r="C186" s="289"/>
      <c r="D186" s="16" t="s">
        <v>9</v>
      </c>
      <c r="E186" s="189">
        <v>92.6</v>
      </c>
      <c r="F186" s="210"/>
      <c r="G186" s="68">
        <f t="shared" si="9"/>
        <v>0</v>
      </c>
      <c r="H186" s="148"/>
      <c r="I186" s="1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</row>
    <row r="187" spans="1:102" ht="24.95" customHeight="1">
      <c r="A187" s="115" t="s">
        <v>272</v>
      </c>
      <c r="B187" s="308" t="s">
        <v>273</v>
      </c>
      <c r="C187" s="308"/>
      <c r="D187" s="115" t="s">
        <v>9</v>
      </c>
      <c r="E187" s="189">
        <f>SUM(E186)</f>
        <v>92.6</v>
      </c>
      <c r="F187" s="209"/>
      <c r="G187" s="68">
        <f>E187*F187</f>
        <v>0</v>
      </c>
      <c r="H187" s="1"/>
      <c r="I187" s="1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</row>
    <row r="188" spans="1:102" ht="24.95" customHeight="1">
      <c r="A188" s="14" t="s">
        <v>274</v>
      </c>
      <c r="B188" s="309" t="s">
        <v>275</v>
      </c>
      <c r="C188" s="308"/>
      <c r="D188" s="115" t="s">
        <v>10</v>
      </c>
      <c r="E188" s="189">
        <f>ROUND((0.01*E186),2)</f>
        <v>0.93</v>
      </c>
      <c r="F188" s="209"/>
      <c r="G188" s="68">
        <f>E188*F188</f>
        <v>0</v>
      </c>
      <c r="H188" s="1"/>
      <c r="I188" s="1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</row>
    <row r="189" spans="1:102" ht="24.95" customHeight="1">
      <c r="A189" s="195" t="s">
        <v>278</v>
      </c>
      <c r="B189" s="381" t="s">
        <v>279</v>
      </c>
      <c r="C189" s="312"/>
      <c r="D189" s="192" t="s">
        <v>9</v>
      </c>
      <c r="E189" s="211">
        <f>SUM(E186)</f>
        <v>92.6</v>
      </c>
      <c r="F189" s="212"/>
      <c r="G189" s="68">
        <f aca="true" t="shared" si="10" ref="G189:G194">E189*F189</f>
        <v>0</v>
      </c>
      <c r="H189" s="1"/>
      <c r="I189" s="1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</row>
    <row r="190" spans="1:102" ht="24.95" customHeight="1">
      <c r="A190" s="115" t="s">
        <v>17</v>
      </c>
      <c r="B190" s="312" t="s">
        <v>280</v>
      </c>
      <c r="C190" s="312"/>
      <c r="D190" s="115" t="s">
        <v>13</v>
      </c>
      <c r="E190" s="189">
        <f>ROUND(SUM(E189*250/10000),2)</f>
        <v>2.32</v>
      </c>
      <c r="F190" s="209"/>
      <c r="G190" s="68">
        <f t="shared" si="10"/>
        <v>0</v>
      </c>
      <c r="H190" s="1"/>
      <c r="I190" s="1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</row>
    <row r="191" spans="1:102" ht="24.95" customHeight="1">
      <c r="A191" s="187" t="s">
        <v>19</v>
      </c>
      <c r="B191" s="312" t="s">
        <v>281</v>
      </c>
      <c r="C191" s="312"/>
      <c r="D191" s="115" t="s">
        <v>14</v>
      </c>
      <c r="E191" s="213">
        <f>ROUND(SUM(E192*0.001),3)</f>
        <v>0.003</v>
      </c>
      <c r="F191" s="214"/>
      <c r="G191" s="68">
        <f t="shared" si="10"/>
        <v>0</v>
      </c>
      <c r="H191" s="1"/>
      <c r="I191" s="1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</row>
    <row r="192" spans="1:102" ht="24.95" customHeight="1">
      <c r="A192" s="192" t="s">
        <v>17</v>
      </c>
      <c r="B192" s="312" t="s">
        <v>282</v>
      </c>
      <c r="C192" s="312"/>
      <c r="D192" s="192" t="s">
        <v>13</v>
      </c>
      <c r="E192" s="211">
        <f>ROUND(SUM(E189*0.03),2)</f>
        <v>2.78</v>
      </c>
      <c r="F192" s="212"/>
      <c r="G192" s="68">
        <f t="shared" si="10"/>
        <v>0</v>
      </c>
      <c r="H192" s="1"/>
      <c r="I192" s="1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</row>
    <row r="193" spans="1:102" ht="24.95" customHeight="1">
      <c r="A193" s="220" t="s">
        <v>283</v>
      </c>
      <c r="B193" s="302" t="s">
        <v>284</v>
      </c>
      <c r="C193" s="302"/>
      <c r="D193" s="220" t="s">
        <v>9</v>
      </c>
      <c r="E193" s="221">
        <f>SUM(E189*3)</f>
        <v>277.79999999999995</v>
      </c>
      <c r="F193" s="222"/>
      <c r="G193" s="68">
        <f t="shared" si="10"/>
        <v>0</v>
      </c>
      <c r="H193" s="1"/>
      <c r="I193" s="1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</row>
    <row r="194" spans="1:10" s="81" customFormat="1" ht="24.95" customHeight="1">
      <c r="A194" s="79" t="s">
        <v>16</v>
      </c>
      <c r="B194" s="297" t="s">
        <v>55</v>
      </c>
      <c r="C194" s="298"/>
      <c r="D194" s="79" t="s">
        <v>14</v>
      </c>
      <c r="E194" s="215">
        <f>E186*0.001</f>
        <v>0.0926</v>
      </c>
      <c r="F194" s="216"/>
      <c r="G194" s="68">
        <f t="shared" si="10"/>
        <v>0</v>
      </c>
      <c r="H194" s="208"/>
      <c r="I194" s="208"/>
      <c r="J194" s="208"/>
    </row>
    <row r="195" spans="1:102" ht="24.95" customHeight="1">
      <c r="A195" s="217"/>
      <c r="B195" s="319" t="s">
        <v>285</v>
      </c>
      <c r="C195" s="319"/>
      <c r="D195" s="218"/>
      <c r="E195" s="218"/>
      <c r="F195" s="219"/>
      <c r="G195" s="70">
        <f>SUM(G185:G194)</f>
        <v>0</v>
      </c>
      <c r="H195" s="1"/>
      <c r="I195" s="1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</row>
    <row r="196" spans="1:102" s="81" customFormat="1" ht="24.95" customHeight="1">
      <c r="A196" s="53"/>
      <c r="B196" s="280" t="s">
        <v>61</v>
      </c>
      <c r="C196" s="280"/>
      <c r="D196" s="280"/>
      <c r="E196" s="280"/>
      <c r="F196" s="280"/>
      <c r="G196" s="223"/>
      <c r="H196" s="99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0"/>
      <c r="BC196" s="100"/>
      <c r="BD196" s="100"/>
      <c r="BE196" s="100"/>
      <c r="BF196" s="100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100"/>
      <c r="BS196" s="100"/>
      <c r="BT196" s="100"/>
      <c r="BU196" s="100"/>
      <c r="BV196" s="100"/>
      <c r="BW196" s="100"/>
      <c r="BX196" s="100"/>
      <c r="BY196" s="100"/>
      <c r="BZ196" s="100"/>
      <c r="CA196" s="100"/>
      <c r="CB196" s="100"/>
      <c r="CC196" s="100"/>
      <c r="CD196" s="100"/>
      <c r="CE196" s="100"/>
      <c r="CF196" s="100"/>
      <c r="CG196" s="100"/>
      <c r="CH196" s="100"/>
      <c r="CI196" s="100"/>
      <c r="CJ196" s="100"/>
      <c r="CK196" s="100"/>
      <c r="CL196" s="100"/>
      <c r="CM196" s="100"/>
      <c r="CN196" s="100"/>
      <c r="CO196" s="100"/>
      <c r="CP196" s="100"/>
      <c r="CQ196" s="100"/>
      <c r="CR196" s="100"/>
      <c r="CS196" s="100"/>
      <c r="CT196" s="100"/>
      <c r="CU196" s="100"/>
      <c r="CV196" s="100"/>
      <c r="CW196" s="100"/>
      <c r="CX196" s="100"/>
    </row>
    <row r="197" spans="1:9" ht="24.95" customHeight="1">
      <c r="A197" s="23" t="s">
        <v>62</v>
      </c>
      <c r="B197" s="281" t="s">
        <v>63</v>
      </c>
      <c r="C197" s="282"/>
      <c r="D197" s="9" t="s">
        <v>9</v>
      </c>
      <c r="E197" s="176">
        <v>2905</v>
      </c>
      <c r="F197" s="17"/>
      <c r="G197" s="178">
        <f>E197*F197</f>
        <v>0</v>
      </c>
      <c r="I197" s="87"/>
    </row>
    <row r="198" spans="1:9" ht="24.95" customHeight="1">
      <c r="A198" s="23" t="s">
        <v>40</v>
      </c>
      <c r="B198" s="281" t="s">
        <v>117</v>
      </c>
      <c r="C198" s="289"/>
      <c r="D198" s="9" t="s">
        <v>9</v>
      </c>
      <c r="E198" s="176">
        <f>E197</f>
        <v>2905</v>
      </c>
      <c r="F198" s="17"/>
      <c r="G198" s="178">
        <f>E198*F198</f>
        <v>0</v>
      </c>
      <c r="I198" s="87"/>
    </row>
    <row r="199" spans="1:9" ht="24.95" customHeight="1">
      <c r="A199" s="9" t="s">
        <v>17</v>
      </c>
      <c r="B199" s="283" t="s">
        <v>286</v>
      </c>
      <c r="C199" s="284"/>
      <c r="D199" s="9" t="s">
        <v>13</v>
      </c>
      <c r="E199" s="177">
        <f>ROUND((E197*0.002),3)</f>
        <v>5.81</v>
      </c>
      <c r="F199" s="17"/>
      <c r="G199" s="178">
        <f>E199*F199</f>
        <v>0</v>
      </c>
      <c r="I199" s="87"/>
    </row>
    <row r="200" spans="1:9" ht="24.95" customHeight="1">
      <c r="A200" s="23" t="s">
        <v>64</v>
      </c>
      <c r="B200" s="281" t="s">
        <v>118</v>
      </c>
      <c r="C200" s="282"/>
      <c r="D200" s="9" t="s">
        <v>9</v>
      </c>
      <c r="E200" s="176">
        <f>E197</f>
        <v>2905</v>
      </c>
      <c r="F200" s="17"/>
      <c r="G200" s="178">
        <f>E200*F200</f>
        <v>0</v>
      </c>
      <c r="I200" s="87"/>
    </row>
    <row r="201" spans="1:9" ht="24.95" customHeight="1">
      <c r="A201" s="9" t="s">
        <v>17</v>
      </c>
      <c r="B201" s="283" t="s">
        <v>287</v>
      </c>
      <c r="C201" s="284"/>
      <c r="D201" s="23" t="s">
        <v>14</v>
      </c>
      <c r="E201" s="177">
        <f>ROUND((E197*0.004*1.8),3)</f>
        <v>20.916</v>
      </c>
      <c r="F201" s="17"/>
      <c r="G201" s="178">
        <f>E201*F201</f>
        <v>0</v>
      </c>
      <c r="I201" s="87"/>
    </row>
    <row r="202" spans="1:102" s="6" customFormat="1" ht="24.95" customHeight="1">
      <c r="A202" s="12"/>
      <c r="B202" s="319" t="s">
        <v>288</v>
      </c>
      <c r="C202" s="319"/>
      <c r="D202" s="31"/>
      <c r="E202" s="31"/>
      <c r="F202" s="77"/>
      <c r="G202" s="231">
        <f>SUM(G197:G201)</f>
        <v>0</v>
      </c>
      <c r="H202" s="95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96"/>
      <c r="BG202" s="96"/>
      <c r="BH202" s="96"/>
      <c r="BI202" s="96"/>
      <c r="BJ202" s="96"/>
      <c r="BK202" s="96"/>
      <c r="BL202" s="96"/>
      <c r="BM202" s="96"/>
      <c r="BN202" s="96"/>
      <c r="BO202" s="96"/>
      <c r="BP202" s="96"/>
      <c r="BQ202" s="96"/>
      <c r="BR202" s="96"/>
      <c r="BS202" s="96"/>
      <c r="BT202" s="96"/>
      <c r="BU202" s="96"/>
      <c r="BV202" s="96"/>
      <c r="BW202" s="96"/>
      <c r="BX202" s="96"/>
      <c r="BY202" s="96"/>
      <c r="BZ202" s="96"/>
      <c r="CA202" s="96"/>
      <c r="CB202" s="96"/>
      <c r="CC202" s="96"/>
      <c r="CD202" s="96"/>
      <c r="CE202" s="96"/>
      <c r="CF202" s="96"/>
      <c r="CG202" s="96"/>
      <c r="CH202" s="96"/>
      <c r="CI202" s="96"/>
      <c r="CJ202" s="96"/>
      <c r="CK202" s="96"/>
      <c r="CL202" s="96"/>
      <c r="CM202" s="96"/>
      <c r="CN202" s="96"/>
      <c r="CO202" s="96"/>
      <c r="CP202" s="96"/>
      <c r="CQ202" s="96"/>
      <c r="CR202" s="96"/>
      <c r="CS202" s="96"/>
      <c r="CT202" s="96"/>
      <c r="CU202" s="96"/>
      <c r="CV202" s="96"/>
      <c r="CW202" s="96"/>
      <c r="CX202" s="96"/>
    </row>
    <row r="203" spans="1:102" s="50" customFormat="1" ht="35.1" customHeight="1">
      <c r="A203" s="49"/>
      <c r="B203" s="300" t="s">
        <v>102</v>
      </c>
      <c r="C203" s="300"/>
      <c r="D203" s="300"/>
      <c r="E203" s="300"/>
      <c r="F203" s="300"/>
      <c r="G203" s="71">
        <f>SUM(G202,G168,G157,G136,G195,G181)</f>
        <v>0</v>
      </c>
      <c r="H203" s="101"/>
      <c r="I203" s="101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102"/>
      <c r="CI203" s="102"/>
      <c r="CJ203" s="102"/>
      <c r="CK203" s="102"/>
      <c r="CL203" s="102"/>
      <c r="CM203" s="102"/>
      <c r="CN203" s="102"/>
      <c r="CO203" s="102"/>
      <c r="CP203" s="102"/>
      <c r="CQ203" s="102"/>
      <c r="CR203" s="102"/>
      <c r="CS203" s="102"/>
      <c r="CT203" s="102"/>
      <c r="CU203" s="102"/>
      <c r="CV203" s="102"/>
      <c r="CW203" s="102"/>
      <c r="CX203" s="102"/>
    </row>
    <row r="204" spans="1:102" s="50" customFormat="1" ht="35.1" customHeight="1">
      <c r="A204" s="157"/>
      <c r="B204" s="345" t="s">
        <v>289</v>
      </c>
      <c r="C204" s="346"/>
      <c r="D204" s="346"/>
      <c r="E204" s="346"/>
      <c r="F204" s="346"/>
      <c r="G204" s="347"/>
      <c r="H204" s="101"/>
      <c r="I204" s="101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  <c r="CW204" s="102"/>
      <c r="CX204" s="102"/>
    </row>
    <row r="205" spans="1:102" s="25" customFormat="1" ht="24.95" customHeight="1">
      <c r="A205" s="290"/>
      <c r="B205" s="291" t="s">
        <v>6</v>
      </c>
      <c r="C205" s="291"/>
      <c r="D205" s="292" t="s">
        <v>47</v>
      </c>
      <c r="E205" s="293" t="s">
        <v>31</v>
      </c>
      <c r="F205" s="295" t="s">
        <v>4</v>
      </c>
      <c r="G205" s="296" t="s">
        <v>32</v>
      </c>
      <c r="H205" s="92"/>
      <c r="I205" s="92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93"/>
      <c r="BH205" s="93"/>
      <c r="BI205" s="93"/>
      <c r="BJ205" s="93"/>
      <c r="BK205" s="93"/>
      <c r="BL205" s="93"/>
      <c r="BM205" s="93"/>
      <c r="BN205" s="93"/>
      <c r="BO205" s="93"/>
      <c r="BP205" s="93"/>
      <c r="BQ205" s="93"/>
      <c r="BR205" s="93"/>
      <c r="BS205" s="93"/>
      <c r="BT205" s="93"/>
      <c r="BU205" s="93"/>
      <c r="BV205" s="93"/>
      <c r="BW205" s="93"/>
      <c r="BX205" s="93"/>
      <c r="BY205" s="93"/>
      <c r="BZ205" s="93"/>
      <c r="CA205" s="93"/>
      <c r="CB205" s="93"/>
      <c r="CC205" s="93"/>
      <c r="CD205" s="93"/>
      <c r="CE205" s="93"/>
      <c r="CF205" s="93"/>
      <c r="CG205" s="93"/>
      <c r="CH205" s="93"/>
      <c r="CI205" s="93"/>
      <c r="CJ205" s="93"/>
      <c r="CK205" s="93"/>
      <c r="CL205" s="93"/>
      <c r="CM205" s="93"/>
      <c r="CN205" s="93"/>
      <c r="CO205" s="93"/>
      <c r="CP205" s="93"/>
      <c r="CQ205" s="93"/>
      <c r="CR205" s="93"/>
      <c r="CS205" s="93"/>
      <c r="CT205" s="93"/>
      <c r="CU205" s="93"/>
      <c r="CV205" s="93"/>
      <c r="CW205" s="93"/>
      <c r="CX205" s="93"/>
    </row>
    <row r="206" spans="1:102" s="7" customFormat="1" ht="24.95" customHeight="1">
      <c r="A206" s="290"/>
      <c r="B206" s="291"/>
      <c r="C206" s="291"/>
      <c r="D206" s="292"/>
      <c r="E206" s="294"/>
      <c r="F206" s="295"/>
      <c r="G206" s="296"/>
      <c r="H206" s="5"/>
      <c r="I206" s="5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4"/>
      <c r="BC206" s="94"/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4"/>
      <c r="BQ206" s="94"/>
      <c r="BR206" s="94"/>
      <c r="BS206" s="94"/>
      <c r="BT206" s="94"/>
      <c r="BU206" s="94"/>
      <c r="BV206" s="94"/>
      <c r="BW206" s="94"/>
      <c r="BX206" s="94"/>
      <c r="BY206" s="94"/>
      <c r="BZ206" s="94"/>
      <c r="CA206" s="94"/>
      <c r="CB206" s="94"/>
      <c r="CC206" s="94"/>
      <c r="CD206" s="94"/>
      <c r="CE206" s="94"/>
      <c r="CF206" s="94"/>
      <c r="CG206" s="94"/>
      <c r="CH206" s="94"/>
      <c r="CI206" s="94"/>
      <c r="CJ206" s="94"/>
      <c r="CK206" s="94"/>
      <c r="CL206" s="94"/>
      <c r="CM206" s="94"/>
      <c r="CN206" s="94"/>
      <c r="CO206" s="94"/>
      <c r="CP206" s="94"/>
      <c r="CQ206" s="94"/>
      <c r="CR206" s="94"/>
      <c r="CS206" s="94"/>
      <c r="CT206" s="94"/>
      <c r="CU206" s="94"/>
      <c r="CV206" s="94"/>
      <c r="CW206" s="94"/>
      <c r="CX206" s="94"/>
    </row>
    <row r="207" spans="1:102" s="226" customFormat="1" ht="24.95" customHeight="1">
      <c r="A207" s="227"/>
      <c r="B207" s="285" t="s">
        <v>290</v>
      </c>
      <c r="C207" s="286"/>
      <c r="D207" s="286"/>
      <c r="E207" s="286"/>
      <c r="F207" s="286"/>
      <c r="G207" s="287"/>
      <c r="H207" s="225"/>
      <c r="I207" s="225"/>
      <c r="J207" s="225"/>
      <c r="K207" s="225"/>
      <c r="L207" s="225"/>
      <c r="M207" s="225"/>
      <c r="N207" s="225"/>
      <c r="O207" s="225"/>
      <c r="P207" s="225"/>
      <c r="Q207" s="225"/>
      <c r="R207" s="225"/>
      <c r="S207" s="225"/>
      <c r="T207" s="225"/>
      <c r="U207" s="225"/>
      <c r="V207" s="225"/>
      <c r="W207" s="225"/>
      <c r="X207" s="225"/>
      <c r="Y207" s="225"/>
      <c r="Z207" s="225"/>
      <c r="AA207" s="225"/>
      <c r="AB207" s="225"/>
      <c r="AC207" s="225"/>
      <c r="AD207" s="225"/>
      <c r="AE207" s="225"/>
      <c r="AF207" s="225"/>
      <c r="AG207" s="225"/>
      <c r="AH207" s="225"/>
      <c r="AI207" s="225"/>
      <c r="AJ207" s="225"/>
      <c r="AK207" s="225"/>
      <c r="AL207" s="225"/>
      <c r="AM207" s="225"/>
      <c r="AN207" s="225"/>
      <c r="AO207" s="225"/>
      <c r="AP207" s="225"/>
      <c r="AQ207" s="225"/>
      <c r="AR207" s="225"/>
      <c r="AS207" s="225"/>
      <c r="AT207" s="225"/>
      <c r="AU207" s="225"/>
      <c r="AV207" s="225"/>
      <c r="AW207" s="225"/>
      <c r="AX207" s="225"/>
      <c r="AY207" s="225"/>
      <c r="AZ207" s="225"/>
      <c r="BA207" s="225"/>
      <c r="BB207" s="225"/>
      <c r="BC207" s="225"/>
      <c r="BD207" s="225"/>
      <c r="BE207" s="225"/>
      <c r="BF207" s="225"/>
      <c r="BG207" s="225"/>
      <c r="BH207" s="225"/>
      <c r="BI207" s="225"/>
      <c r="BJ207" s="225"/>
      <c r="BK207" s="225"/>
      <c r="BL207" s="225"/>
      <c r="BM207" s="225"/>
      <c r="BN207" s="225"/>
      <c r="BO207" s="225"/>
      <c r="BP207" s="225"/>
      <c r="BQ207" s="225"/>
      <c r="BR207" s="225"/>
      <c r="BS207" s="225"/>
      <c r="BT207" s="225"/>
      <c r="BU207" s="225"/>
      <c r="BV207" s="225"/>
      <c r="BW207" s="225"/>
      <c r="BX207" s="225"/>
      <c r="BY207" s="225"/>
      <c r="BZ207" s="225"/>
      <c r="CA207" s="225"/>
      <c r="CB207" s="225"/>
      <c r="CC207" s="225"/>
      <c r="CD207" s="225"/>
      <c r="CE207" s="225"/>
      <c r="CF207" s="225"/>
      <c r="CG207" s="225"/>
      <c r="CH207" s="225"/>
      <c r="CI207" s="225"/>
      <c r="CJ207" s="225"/>
      <c r="CK207" s="225"/>
      <c r="CL207" s="225"/>
      <c r="CM207" s="225"/>
      <c r="CN207" s="225"/>
      <c r="CO207" s="225"/>
      <c r="CP207" s="225"/>
      <c r="CQ207" s="225"/>
      <c r="CR207" s="225"/>
      <c r="CS207" s="225"/>
      <c r="CT207" s="225"/>
      <c r="CU207" s="225"/>
      <c r="CV207" s="225"/>
      <c r="CW207" s="225"/>
      <c r="CX207" s="225"/>
    </row>
    <row r="208" spans="1:102" s="29" customFormat="1" ht="24.95" customHeight="1">
      <c r="A208" s="35" t="s">
        <v>37</v>
      </c>
      <c r="B208" s="283" t="s">
        <v>144</v>
      </c>
      <c r="C208" s="284"/>
      <c r="D208" s="9" t="s">
        <v>10</v>
      </c>
      <c r="E208" s="30">
        <f>ROUND((E154*12*0.02),2)*3</f>
        <v>383.70000000000005</v>
      </c>
      <c r="F208" s="17"/>
      <c r="G208" s="72">
        <f>F208*E208</f>
        <v>0</v>
      </c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  <c r="BD208" s="103"/>
      <c r="BE208" s="103"/>
      <c r="BF208" s="103"/>
      <c r="BG208" s="103"/>
      <c r="BH208" s="103"/>
      <c r="BI208" s="103"/>
      <c r="BJ208" s="103"/>
      <c r="BK208" s="103"/>
      <c r="BL208" s="103"/>
      <c r="BM208" s="103"/>
      <c r="BN208" s="103"/>
      <c r="BO208" s="103"/>
      <c r="BP208" s="103"/>
      <c r="BQ208" s="103"/>
      <c r="BR208" s="103"/>
      <c r="BS208" s="103"/>
      <c r="BT208" s="103"/>
      <c r="BU208" s="103"/>
      <c r="BV208" s="103"/>
      <c r="BW208" s="103"/>
      <c r="BX208" s="103"/>
      <c r="BY208" s="103"/>
      <c r="BZ208" s="103"/>
      <c r="CA208" s="103"/>
      <c r="CB208" s="103"/>
      <c r="CC208" s="103"/>
      <c r="CD208" s="103"/>
      <c r="CE208" s="103"/>
      <c r="CF208" s="103"/>
      <c r="CG208" s="103"/>
      <c r="CH208" s="103"/>
      <c r="CI208" s="103"/>
      <c r="CJ208" s="103"/>
      <c r="CK208" s="103"/>
      <c r="CL208" s="103"/>
      <c r="CM208" s="103"/>
      <c r="CN208" s="103"/>
      <c r="CO208" s="103"/>
      <c r="CP208" s="103"/>
      <c r="CQ208" s="103"/>
      <c r="CR208" s="103"/>
      <c r="CS208" s="103"/>
      <c r="CT208" s="103"/>
      <c r="CU208" s="103"/>
      <c r="CV208" s="103"/>
      <c r="CW208" s="103"/>
      <c r="CX208" s="103"/>
    </row>
    <row r="209" spans="1:102" s="29" customFormat="1" ht="24.95" customHeight="1">
      <c r="A209" s="23" t="s">
        <v>51</v>
      </c>
      <c r="B209" s="281" t="s">
        <v>52</v>
      </c>
      <c r="C209" s="281"/>
      <c r="D209" s="64" t="s">
        <v>10</v>
      </c>
      <c r="E209" s="30">
        <f>E208</f>
        <v>383.70000000000005</v>
      </c>
      <c r="F209" s="17"/>
      <c r="G209" s="72">
        <f>F209*E209</f>
        <v>0</v>
      </c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  <c r="BD209" s="103"/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3"/>
      <c r="BR209" s="103"/>
      <c r="BS209" s="103"/>
      <c r="BT209" s="103"/>
      <c r="BU209" s="103"/>
      <c r="BV209" s="103"/>
      <c r="BW209" s="103"/>
      <c r="BX209" s="103"/>
      <c r="BY209" s="103"/>
      <c r="BZ209" s="103"/>
      <c r="CA209" s="103"/>
      <c r="CB209" s="103"/>
      <c r="CC209" s="103"/>
      <c r="CD209" s="103"/>
      <c r="CE209" s="103"/>
      <c r="CF209" s="103"/>
      <c r="CG209" s="103"/>
      <c r="CH209" s="103"/>
      <c r="CI209" s="103"/>
      <c r="CJ209" s="103"/>
      <c r="CK209" s="103"/>
      <c r="CL209" s="103"/>
      <c r="CM209" s="103"/>
      <c r="CN209" s="103"/>
      <c r="CO209" s="103"/>
      <c r="CP209" s="103"/>
      <c r="CQ209" s="103"/>
      <c r="CR209" s="103"/>
      <c r="CS209" s="103"/>
      <c r="CT209" s="103"/>
      <c r="CU209" s="103"/>
      <c r="CV209" s="103"/>
      <c r="CW209" s="103"/>
      <c r="CX209" s="103"/>
    </row>
    <row r="210" spans="1:102" s="29" customFormat="1" ht="24.95" customHeight="1">
      <c r="A210" s="35" t="s">
        <v>34</v>
      </c>
      <c r="B210" s="283" t="s">
        <v>120</v>
      </c>
      <c r="C210" s="284"/>
      <c r="D210" s="9" t="s">
        <v>9</v>
      </c>
      <c r="E210" s="30">
        <f>ROUND((E154*2),2)*3</f>
        <v>3197.3999999999996</v>
      </c>
      <c r="F210" s="17"/>
      <c r="G210" s="72">
        <f>F210*E210</f>
        <v>0</v>
      </c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  <c r="BD210" s="103"/>
      <c r="BE210" s="103"/>
      <c r="BF210" s="103"/>
      <c r="BG210" s="103"/>
      <c r="BH210" s="103"/>
      <c r="BI210" s="103"/>
      <c r="BJ210" s="103"/>
      <c r="BK210" s="103"/>
      <c r="BL210" s="103"/>
      <c r="BM210" s="103"/>
      <c r="BN210" s="103"/>
      <c r="BO210" s="103"/>
      <c r="BP210" s="103"/>
      <c r="BQ210" s="103"/>
      <c r="BR210" s="103"/>
      <c r="BS210" s="103"/>
      <c r="BT210" s="103"/>
      <c r="BU210" s="103"/>
      <c r="BV210" s="103"/>
      <c r="BW210" s="103"/>
      <c r="BX210" s="103"/>
      <c r="BY210" s="103"/>
      <c r="BZ210" s="103"/>
      <c r="CA210" s="103"/>
      <c r="CB210" s="103"/>
      <c r="CC210" s="103"/>
      <c r="CD210" s="103"/>
      <c r="CE210" s="103"/>
      <c r="CF210" s="103"/>
      <c r="CG210" s="103"/>
      <c r="CH210" s="103"/>
      <c r="CI210" s="103"/>
      <c r="CJ210" s="103"/>
      <c r="CK210" s="103"/>
      <c r="CL210" s="103"/>
      <c r="CM210" s="103"/>
      <c r="CN210" s="103"/>
      <c r="CO210" s="103"/>
      <c r="CP210" s="103"/>
      <c r="CQ210" s="103"/>
      <c r="CR210" s="103"/>
      <c r="CS210" s="103"/>
      <c r="CT210" s="103"/>
      <c r="CU210" s="103"/>
      <c r="CV210" s="103"/>
      <c r="CW210" s="103"/>
      <c r="CX210" s="103"/>
    </row>
    <row r="211" spans="1:102" s="29" customFormat="1" ht="24.95" customHeight="1">
      <c r="A211" s="23" t="s">
        <v>18</v>
      </c>
      <c r="B211" s="283" t="s">
        <v>119</v>
      </c>
      <c r="C211" s="284"/>
      <c r="D211" s="9" t="s">
        <v>9</v>
      </c>
      <c r="E211" s="30">
        <f>ROUND(E154,2)*3</f>
        <v>1598.6999999999998</v>
      </c>
      <c r="F211" s="17"/>
      <c r="G211" s="72">
        <f>F211*E211</f>
        <v>0</v>
      </c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103"/>
      <c r="BS211" s="103"/>
      <c r="BT211" s="103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3"/>
      <c r="CF211" s="103"/>
      <c r="CG211" s="103"/>
      <c r="CH211" s="103"/>
      <c r="CI211" s="103"/>
      <c r="CJ211" s="103"/>
      <c r="CK211" s="103"/>
      <c r="CL211" s="103"/>
      <c r="CM211" s="103"/>
      <c r="CN211" s="103"/>
      <c r="CO211" s="103"/>
      <c r="CP211" s="103"/>
      <c r="CQ211" s="103"/>
      <c r="CR211" s="103"/>
      <c r="CS211" s="103"/>
      <c r="CT211" s="103"/>
      <c r="CU211" s="103"/>
      <c r="CV211" s="103"/>
      <c r="CW211" s="103"/>
      <c r="CX211" s="103"/>
    </row>
    <row r="212" spans="1:102" s="29" customFormat="1" ht="24.95" customHeight="1">
      <c r="A212" s="9" t="s">
        <v>17</v>
      </c>
      <c r="B212" s="283" t="s">
        <v>42</v>
      </c>
      <c r="C212" s="284"/>
      <c r="D212" s="9" t="s">
        <v>10</v>
      </c>
      <c r="E212" s="30">
        <f>E211*0.1</f>
        <v>159.87</v>
      </c>
      <c r="F212" s="17"/>
      <c r="G212" s="72">
        <f>F212*E212</f>
        <v>0</v>
      </c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03"/>
      <c r="BO212" s="103"/>
      <c r="BP212" s="103"/>
      <c r="BQ212" s="103"/>
      <c r="BR212" s="103"/>
      <c r="BS212" s="103"/>
      <c r="BT212" s="103"/>
      <c r="BU212" s="103"/>
      <c r="BV212" s="103"/>
      <c r="BW212" s="103"/>
      <c r="BX212" s="103"/>
      <c r="BY212" s="103"/>
      <c r="BZ212" s="103"/>
      <c r="CA212" s="103"/>
      <c r="CB212" s="103"/>
      <c r="CC212" s="103"/>
      <c r="CD212" s="103"/>
      <c r="CE212" s="103"/>
      <c r="CF212" s="103"/>
      <c r="CG212" s="103"/>
      <c r="CH212" s="103"/>
      <c r="CI212" s="103"/>
      <c r="CJ212" s="103"/>
      <c r="CK212" s="103"/>
      <c r="CL212" s="103"/>
      <c r="CM212" s="103"/>
      <c r="CN212" s="103"/>
      <c r="CO212" s="103"/>
      <c r="CP212" s="103"/>
      <c r="CQ212" s="103"/>
      <c r="CR212" s="103"/>
      <c r="CS212" s="103"/>
      <c r="CT212" s="103"/>
      <c r="CU212" s="103"/>
      <c r="CV212" s="103"/>
      <c r="CW212" s="103"/>
      <c r="CX212" s="103"/>
    </row>
    <row r="213" spans="1:102" s="226" customFormat="1" ht="24.95" customHeight="1">
      <c r="A213" s="224"/>
      <c r="B213" s="288" t="s">
        <v>291</v>
      </c>
      <c r="C213" s="288"/>
      <c r="D213" s="228"/>
      <c r="E213" s="228"/>
      <c r="F213" s="229"/>
      <c r="G213" s="230">
        <f>SUM(G208:G212)</f>
        <v>0</v>
      </c>
      <c r="H213" s="225"/>
      <c r="I213" s="225"/>
      <c r="J213" s="225"/>
      <c r="K213" s="225"/>
      <c r="L213" s="225"/>
      <c r="M213" s="225"/>
      <c r="N213" s="225"/>
      <c r="O213" s="225"/>
      <c r="P213" s="225"/>
      <c r="Q213" s="225"/>
      <c r="R213" s="225"/>
      <c r="S213" s="225"/>
      <c r="T213" s="225"/>
      <c r="U213" s="225"/>
      <c r="V213" s="225"/>
      <c r="W213" s="225"/>
      <c r="X213" s="225"/>
      <c r="Y213" s="225"/>
      <c r="Z213" s="225"/>
      <c r="AA213" s="225"/>
      <c r="AB213" s="225"/>
      <c r="AC213" s="225"/>
      <c r="AD213" s="225"/>
      <c r="AE213" s="225"/>
      <c r="AF213" s="225"/>
      <c r="AG213" s="225"/>
      <c r="AH213" s="225"/>
      <c r="AI213" s="225"/>
      <c r="AJ213" s="225"/>
      <c r="AK213" s="225"/>
      <c r="AL213" s="225"/>
      <c r="AM213" s="225"/>
      <c r="AN213" s="225"/>
      <c r="AO213" s="225"/>
      <c r="AP213" s="225"/>
      <c r="AQ213" s="225"/>
      <c r="AR213" s="225"/>
      <c r="AS213" s="225"/>
      <c r="AT213" s="225"/>
      <c r="AU213" s="225"/>
      <c r="AV213" s="225"/>
      <c r="AW213" s="225"/>
      <c r="AX213" s="225"/>
      <c r="AY213" s="225"/>
      <c r="AZ213" s="225"/>
      <c r="BA213" s="225"/>
      <c r="BB213" s="225"/>
      <c r="BC213" s="225"/>
      <c r="BD213" s="225"/>
      <c r="BE213" s="225"/>
      <c r="BF213" s="225"/>
      <c r="BG213" s="225"/>
      <c r="BH213" s="225"/>
      <c r="BI213" s="225"/>
      <c r="BJ213" s="225"/>
      <c r="BK213" s="225"/>
      <c r="BL213" s="225"/>
      <c r="BM213" s="225"/>
      <c r="BN213" s="225"/>
      <c r="BO213" s="225"/>
      <c r="BP213" s="225"/>
      <c r="BQ213" s="225"/>
      <c r="BR213" s="225"/>
      <c r="BS213" s="225"/>
      <c r="BT213" s="225"/>
      <c r="BU213" s="225"/>
      <c r="BV213" s="225"/>
      <c r="BW213" s="225"/>
      <c r="BX213" s="225"/>
      <c r="BY213" s="225"/>
      <c r="BZ213" s="225"/>
      <c r="CA213" s="225"/>
      <c r="CB213" s="225"/>
      <c r="CC213" s="225"/>
      <c r="CD213" s="225"/>
      <c r="CE213" s="225"/>
      <c r="CF213" s="225"/>
      <c r="CG213" s="225"/>
      <c r="CH213" s="225"/>
      <c r="CI213" s="225"/>
      <c r="CJ213" s="225"/>
      <c r="CK213" s="225"/>
      <c r="CL213" s="225"/>
      <c r="CM213" s="225"/>
      <c r="CN213" s="225"/>
      <c r="CO213" s="225"/>
      <c r="CP213" s="225"/>
      <c r="CQ213" s="225"/>
      <c r="CR213" s="225"/>
      <c r="CS213" s="225"/>
      <c r="CT213" s="225"/>
      <c r="CU213" s="225"/>
      <c r="CV213" s="225"/>
      <c r="CW213" s="225"/>
      <c r="CX213" s="225"/>
    </row>
    <row r="214" spans="1:102" s="29" customFormat="1" ht="24.95" customHeight="1">
      <c r="A214" s="227"/>
      <c r="B214" s="285" t="s">
        <v>294</v>
      </c>
      <c r="C214" s="286"/>
      <c r="D214" s="286"/>
      <c r="E214" s="286"/>
      <c r="F214" s="286"/>
      <c r="G214" s="287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103"/>
      <c r="BT214" s="103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3"/>
      <c r="CF214" s="103"/>
      <c r="CG214" s="103"/>
      <c r="CH214" s="103"/>
      <c r="CI214" s="103"/>
      <c r="CJ214" s="103"/>
      <c r="CK214" s="103"/>
      <c r="CL214" s="103"/>
      <c r="CM214" s="103"/>
      <c r="CN214" s="103"/>
      <c r="CO214" s="103"/>
      <c r="CP214" s="103"/>
      <c r="CQ214" s="103"/>
      <c r="CR214" s="103"/>
      <c r="CS214" s="103"/>
      <c r="CT214" s="103"/>
      <c r="CU214" s="103"/>
      <c r="CV214" s="103"/>
      <c r="CW214" s="103"/>
      <c r="CX214" s="103"/>
    </row>
    <row r="215" spans="1:102" s="29" customFormat="1" ht="24.95" customHeight="1">
      <c r="A215" s="35" t="s">
        <v>36</v>
      </c>
      <c r="B215" s="283" t="s">
        <v>145</v>
      </c>
      <c r="C215" s="284"/>
      <c r="D215" s="9" t="s">
        <v>10</v>
      </c>
      <c r="E215" s="30">
        <f>(E165+E179)*12*0.02*3</f>
        <v>234.36</v>
      </c>
      <c r="F215" s="17"/>
      <c r="G215" s="72">
        <f aca="true" t="shared" si="11" ref="G215:G221">F215*E215</f>
        <v>0</v>
      </c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  <c r="BD215" s="103"/>
      <c r="BE215" s="103"/>
      <c r="BF215" s="103"/>
      <c r="BG215" s="103"/>
      <c r="BH215" s="103"/>
      <c r="BI215" s="103"/>
      <c r="BJ215" s="103"/>
      <c r="BK215" s="103"/>
      <c r="BL215" s="103"/>
      <c r="BM215" s="103"/>
      <c r="BN215" s="103"/>
      <c r="BO215" s="103"/>
      <c r="BP215" s="103"/>
      <c r="BQ215" s="103"/>
      <c r="BR215" s="103"/>
      <c r="BS215" s="103"/>
      <c r="BT215" s="103"/>
      <c r="BU215" s="103"/>
      <c r="BV215" s="103"/>
      <c r="BW215" s="103"/>
      <c r="BX215" s="103"/>
      <c r="BY215" s="103"/>
      <c r="BZ215" s="103"/>
      <c r="CA215" s="103"/>
      <c r="CB215" s="103"/>
      <c r="CC215" s="103"/>
      <c r="CD215" s="103"/>
      <c r="CE215" s="103"/>
      <c r="CF215" s="103"/>
      <c r="CG215" s="103"/>
      <c r="CH215" s="103"/>
      <c r="CI215" s="103"/>
      <c r="CJ215" s="103"/>
      <c r="CK215" s="103"/>
      <c r="CL215" s="103"/>
      <c r="CM215" s="103"/>
      <c r="CN215" s="103"/>
      <c r="CO215" s="103"/>
      <c r="CP215" s="103"/>
      <c r="CQ215" s="103"/>
      <c r="CR215" s="103"/>
      <c r="CS215" s="103"/>
      <c r="CT215" s="103"/>
      <c r="CU215" s="103"/>
      <c r="CV215" s="103"/>
      <c r="CW215" s="103"/>
      <c r="CX215" s="103"/>
    </row>
    <row r="216" spans="1:102" s="29" customFormat="1" ht="24.95" customHeight="1">
      <c r="A216" s="23" t="s">
        <v>51</v>
      </c>
      <c r="B216" s="281" t="s">
        <v>52</v>
      </c>
      <c r="C216" s="281"/>
      <c r="D216" s="64" t="s">
        <v>10</v>
      </c>
      <c r="E216" s="30">
        <f>E215</f>
        <v>234.36</v>
      </c>
      <c r="F216" s="17"/>
      <c r="G216" s="72">
        <f t="shared" si="11"/>
        <v>0</v>
      </c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03"/>
      <c r="BO216" s="103"/>
      <c r="BP216" s="103"/>
      <c r="BQ216" s="103"/>
      <c r="BR216" s="103"/>
      <c r="BS216" s="103"/>
      <c r="BT216" s="103"/>
      <c r="BU216" s="103"/>
      <c r="BV216" s="103"/>
      <c r="BW216" s="103"/>
      <c r="BX216" s="103"/>
      <c r="BY216" s="103"/>
      <c r="BZ216" s="103"/>
      <c r="CA216" s="103"/>
      <c r="CB216" s="103"/>
      <c r="CC216" s="103"/>
      <c r="CD216" s="103"/>
      <c r="CE216" s="103"/>
      <c r="CF216" s="103"/>
      <c r="CG216" s="103"/>
      <c r="CH216" s="103"/>
      <c r="CI216" s="103"/>
      <c r="CJ216" s="103"/>
      <c r="CK216" s="103"/>
      <c r="CL216" s="103"/>
      <c r="CM216" s="103"/>
      <c r="CN216" s="103"/>
      <c r="CO216" s="103"/>
      <c r="CP216" s="103"/>
      <c r="CQ216" s="103"/>
      <c r="CR216" s="103"/>
      <c r="CS216" s="103"/>
      <c r="CT216" s="103"/>
      <c r="CU216" s="103"/>
      <c r="CV216" s="103"/>
      <c r="CW216" s="103"/>
      <c r="CX216" s="103"/>
    </row>
    <row r="217" spans="1:102" s="29" customFormat="1" ht="24.95" customHeight="1">
      <c r="A217" s="35" t="s">
        <v>49</v>
      </c>
      <c r="B217" s="283" t="s">
        <v>121</v>
      </c>
      <c r="C217" s="284"/>
      <c r="D217" s="9" t="s">
        <v>9</v>
      </c>
      <c r="E217" s="30">
        <f>(E165+E179)*5*3</f>
        <v>4882.5</v>
      </c>
      <c r="F217" s="17"/>
      <c r="G217" s="72">
        <f t="shared" si="11"/>
        <v>0</v>
      </c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3"/>
      <c r="CF217" s="103"/>
      <c r="CG217" s="103"/>
      <c r="CH217" s="103"/>
      <c r="CI217" s="103"/>
      <c r="CJ217" s="103"/>
      <c r="CK217" s="103"/>
      <c r="CL217" s="103"/>
      <c r="CM217" s="103"/>
      <c r="CN217" s="103"/>
      <c r="CO217" s="103"/>
      <c r="CP217" s="103"/>
      <c r="CQ217" s="103"/>
      <c r="CR217" s="103"/>
      <c r="CS217" s="103"/>
      <c r="CT217" s="103"/>
      <c r="CU217" s="103"/>
      <c r="CV217" s="103"/>
      <c r="CW217" s="103"/>
      <c r="CX217" s="103"/>
    </row>
    <row r="218" spans="1:102" s="29" customFormat="1" ht="24.95" customHeight="1">
      <c r="A218" s="23" t="s">
        <v>18</v>
      </c>
      <c r="B218" s="283" t="s">
        <v>122</v>
      </c>
      <c r="C218" s="284"/>
      <c r="D218" s="9" t="s">
        <v>9</v>
      </c>
      <c r="E218" s="30">
        <f>E165*3</f>
        <v>712.5</v>
      </c>
      <c r="F218" s="17"/>
      <c r="G218" s="72">
        <f t="shared" si="11"/>
        <v>0</v>
      </c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3"/>
      <c r="BO218" s="103"/>
      <c r="BP218" s="103"/>
      <c r="BQ218" s="103"/>
      <c r="BR218" s="103"/>
      <c r="BS218" s="103"/>
      <c r="BT218" s="103"/>
      <c r="BU218" s="103"/>
      <c r="BV218" s="103"/>
      <c r="BW218" s="103"/>
      <c r="BX218" s="103"/>
      <c r="BY218" s="103"/>
      <c r="BZ218" s="103"/>
      <c r="CA218" s="103"/>
      <c r="CB218" s="103"/>
      <c r="CC218" s="103"/>
      <c r="CD218" s="103"/>
      <c r="CE218" s="103"/>
      <c r="CF218" s="103"/>
      <c r="CG218" s="103"/>
      <c r="CH218" s="103"/>
      <c r="CI218" s="103"/>
      <c r="CJ218" s="103"/>
      <c r="CK218" s="103"/>
      <c r="CL218" s="103"/>
      <c r="CM218" s="103"/>
      <c r="CN218" s="103"/>
      <c r="CO218" s="103"/>
      <c r="CP218" s="103"/>
      <c r="CQ218" s="103"/>
      <c r="CR218" s="103"/>
      <c r="CS218" s="103"/>
      <c r="CT218" s="103"/>
      <c r="CU218" s="103"/>
      <c r="CV218" s="103"/>
      <c r="CW218" s="103"/>
      <c r="CX218" s="103"/>
    </row>
    <row r="219" spans="1:102" s="29" customFormat="1" ht="24.95" customHeight="1">
      <c r="A219" s="42" t="s">
        <v>17</v>
      </c>
      <c r="B219" s="305" t="s">
        <v>29</v>
      </c>
      <c r="C219" s="305"/>
      <c r="D219" s="53" t="s">
        <v>10</v>
      </c>
      <c r="E219" s="30">
        <f>E218*0.1</f>
        <v>71.25</v>
      </c>
      <c r="F219" s="17"/>
      <c r="G219" s="72">
        <f t="shared" si="11"/>
        <v>0</v>
      </c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3"/>
      <c r="BQ219" s="103"/>
      <c r="BR219" s="103"/>
      <c r="BS219" s="103"/>
      <c r="BT219" s="103"/>
      <c r="BU219" s="103"/>
      <c r="BV219" s="103"/>
      <c r="BW219" s="103"/>
      <c r="BX219" s="103"/>
      <c r="BY219" s="103"/>
      <c r="BZ219" s="103"/>
      <c r="CA219" s="103"/>
      <c r="CB219" s="103"/>
      <c r="CC219" s="103"/>
      <c r="CD219" s="103"/>
      <c r="CE219" s="103"/>
      <c r="CF219" s="103"/>
      <c r="CG219" s="103"/>
      <c r="CH219" s="103"/>
      <c r="CI219" s="103"/>
      <c r="CJ219" s="103"/>
      <c r="CK219" s="103"/>
      <c r="CL219" s="103"/>
      <c r="CM219" s="103"/>
      <c r="CN219" s="103"/>
      <c r="CO219" s="103"/>
      <c r="CP219" s="103"/>
      <c r="CQ219" s="103"/>
      <c r="CR219" s="103"/>
      <c r="CS219" s="103"/>
      <c r="CT219" s="103"/>
      <c r="CU219" s="103"/>
      <c r="CV219" s="103"/>
      <c r="CW219" s="103"/>
      <c r="CX219" s="103"/>
    </row>
    <row r="220" spans="1:102" s="29" customFormat="1" ht="24.95" customHeight="1">
      <c r="A220" s="23" t="s">
        <v>50</v>
      </c>
      <c r="B220" s="283" t="s">
        <v>123</v>
      </c>
      <c r="C220" s="284"/>
      <c r="D220" s="9" t="s">
        <v>9</v>
      </c>
      <c r="E220" s="30">
        <f>(E165+E179)*3</f>
        <v>976.5</v>
      </c>
      <c r="F220" s="17"/>
      <c r="G220" s="72">
        <f t="shared" si="11"/>
        <v>0</v>
      </c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/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3"/>
      <c r="CF220" s="103"/>
      <c r="CG220" s="103"/>
      <c r="CH220" s="103"/>
      <c r="CI220" s="103"/>
      <c r="CJ220" s="103"/>
      <c r="CK220" s="103"/>
      <c r="CL220" s="103"/>
      <c r="CM220" s="103"/>
      <c r="CN220" s="103"/>
      <c r="CO220" s="103"/>
      <c r="CP220" s="103"/>
      <c r="CQ220" s="103"/>
      <c r="CR220" s="103"/>
      <c r="CS220" s="103"/>
      <c r="CT220" s="103"/>
      <c r="CU220" s="103"/>
      <c r="CV220" s="103"/>
      <c r="CW220" s="103"/>
      <c r="CX220" s="103"/>
    </row>
    <row r="221" spans="1:102" s="29" customFormat="1" ht="24.95" customHeight="1">
      <c r="A221" s="23" t="s">
        <v>16</v>
      </c>
      <c r="B221" s="306" t="s">
        <v>293</v>
      </c>
      <c r="C221" s="307"/>
      <c r="D221" s="23" t="s">
        <v>8</v>
      </c>
      <c r="E221" s="30">
        <f>SUM(E82,E83)*3</f>
        <v>1215</v>
      </c>
      <c r="F221" s="17"/>
      <c r="G221" s="72">
        <f t="shared" si="11"/>
        <v>0</v>
      </c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3"/>
      <c r="BO221" s="103"/>
      <c r="BP221" s="103"/>
      <c r="BQ221" s="103"/>
      <c r="BR221" s="103"/>
      <c r="BS221" s="103"/>
      <c r="BT221" s="103"/>
      <c r="BU221" s="103"/>
      <c r="BV221" s="103"/>
      <c r="BW221" s="103"/>
      <c r="BX221" s="103"/>
      <c r="BY221" s="103"/>
      <c r="BZ221" s="103"/>
      <c r="CA221" s="103"/>
      <c r="CB221" s="103"/>
      <c r="CC221" s="103"/>
      <c r="CD221" s="103"/>
      <c r="CE221" s="103"/>
      <c r="CF221" s="103"/>
      <c r="CG221" s="103"/>
      <c r="CH221" s="103"/>
      <c r="CI221" s="103"/>
      <c r="CJ221" s="103"/>
      <c r="CK221" s="103"/>
      <c r="CL221" s="103"/>
      <c r="CM221" s="103"/>
      <c r="CN221" s="103"/>
      <c r="CO221" s="103"/>
      <c r="CP221" s="103"/>
      <c r="CQ221" s="103"/>
      <c r="CR221" s="103"/>
      <c r="CS221" s="103"/>
      <c r="CT221" s="103"/>
      <c r="CU221" s="103"/>
      <c r="CV221" s="103"/>
      <c r="CW221" s="103"/>
      <c r="CX221" s="103"/>
    </row>
    <row r="222" spans="1:102" s="226" customFormat="1" ht="24.95" customHeight="1">
      <c r="A222" s="224"/>
      <c r="B222" s="288" t="s">
        <v>291</v>
      </c>
      <c r="C222" s="288"/>
      <c r="D222" s="228"/>
      <c r="E222" s="228"/>
      <c r="F222" s="229"/>
      <c r="G222" s="230">
        <f>SUM(G215:G221)</f>
        <v>0</v>
      </c>
      <c r="H222" s="225"/>
      <c r="I222" s="225"/>
      <c r="J222" s="225"/>
      <c r="K222" s="225"/>
      <c r="L222" s="225"/>
      <c r="M222" s="225"/>
      <c r="N222" s="225"/>
      <c r="O222" s="225"/>
      <c r="P222" s="225"/>
      <c r="Q222" s="225"/>
      <c r="R222" s="225"/>
      <c r="S222" s="225"/>
      <c r="T222" s="225"/>
      <c r="U222" s="225"/>
      <c r="V222" s="225"/>
      <c r="W222" s="225"/>
      <c r="X222" s="225"/>
      <c r="Y222" s="225"/>
      <c r="Z222" s="225"/>
      <c r="AA222" s="225"/>
      <c r="AB222" s="225"/>
      <c r="AC222" s="225"/>
      <c r="AD222" s="225"/>
      <c r="AE222" s="225"/>
      <c r="AF222" s="225"/>
      <c r="AG222" s="225"/>
      <c r="AH222" s="225"/>
      <c r="AI222" s="225"/>
      <c r="AJ222" s="225"/>
      <c r="AK222" s="225"/>
      <c r="AL222" s="225"/>
      <c r="AM222" s="225"/>
      <c r="AN222" s="225"/>
      <c r="AO222" s="225"/>
      <c r="AP222" s="225"/>
      <c r="AQ222" s="225"/>
      <c r="AR222" s="225"/>
      <c r="AS222" s="225"/>
      <c r="AT222" s="225"/>
      <c r="AU222" s="225"/>
      <c r="AV222" s="225"/>
      <c r="AW222" s="225"/>
      <c r="AX222" s="225"/>
      <c r="AY222" s="225"/>
      <c r="AZ222" s="225"/>
      <c r="BA222" s="225"/>
      <c r="BB222" s="225"/>
      <c r="BC222" s="225"/>
      <c r="BD222" s="225"/>
      <c r="BE222" s="225"/>
      <c r="BF222" s="225"/>
      <c r="BG222" s="225"/>
      <c r="BH222" s="225"/>
      <c r="BI222" s="225"/>
      <c r="BJ222" s="225"/>
      <c r="BK222" s="225"/>
      <c r="BL222" s="225"/>
      <c r="BM222" s="225"/>
      <c r="BN222" s="225"/>
      <c r="BO222" s="225"/>
      <c r="BP222" s="225"/>
      <c r="BQ222" s="225"/>
      <c r="BR222" s="225"/>
      <c r="BS222" s="225"/>
      <c r="BT222" s="225"/>
      <c r="BU222" s="225"/>
      <c r="BV222" s="225"/>
      <c r="BW222" s="225"/>
      <c r="BX222" s="225"/>
      <c r="BY222" s="225"/>
      <c r="BZ222" s="225"/>
      <c r="CA222" s="225"/>
      <c r="CB222" s="225"/>
      <c r="CC222" s="225"/>
      <c r="CD222" s="225"/>
      <c r="CE222" s="225"/>
      <c r="CF222" s="225"/>
      <c r="CG222" s="225"/>
      <c r="CH222" s="225"/>
      <c r="CI222" s="225"/>
      <c r="CJ222" s="225"/>
      <c r="CK222" s="225"/>
      <c r="CL222" s="225"/>
      <c r="CM222" s="225"/>
      <c r="CN222" s="225"/>
      <c r="CO222" s="225"/>
      <c r="CP222" s="225"/>
      <c r="CQ222" s="225"/>
      <c r="CR222" s="225"/>
      <c r="CS222" s="225"/>
      <c r="CT222" s="225"/>
      <c r="CU222" s="225"/>
      <c r="CV222" s="225"/>
      <c r="CW222" s="225"/>
      <c r="CX222" s="225"/>
    </row>
    <row r="223" spans="1:102" s="29" customFormat="1" ht="24.95" customHeight="1">
      <c r="A223" s="227"/>
      <c r="B223" s="285" t="s">
        <v>296</v>
      </c>
      <c r="C223" s="286"/>
      <c r="D223" s="286"/>
      <c r="E223" s="286"/>
      <c r="F223" s="286"/>
      <c r="G223" s="287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3"/>
      <c r="BO223" s="103"/>
      <c r="BP223" s="103"/>
      <c r="BQ223" s="103"/>
      <c r="BR223" s="103"/>
      <c r="BS223" s="103"/>
      <c r="BT223" s="103"/>
      <c r="BU223" s="103"/>
      <c r="BV223" s="103"/>
      <c r="BW223" s="103"/>
      <c r="BX223" s="103"/>
      <c r="BY223" s="103"/>
      <c r="BZ223" s="103"/>
      <c r="CA223" s="103"/>
      <c r="CB223" s="103"/>
      <c r="CC223" s="103"/>
      <c r="CD223" s="103"/>
      <c r="CE223" s="103"/>
      <c r="CF223" s="103"/>
      <c r="CG223" s="103"/>
      <c r="CH223" s="103"/>
      <c r="CI223" s="103"/>
      <c r="CJ223" s="103"/>
      <c r="CK223" s="103"/>
      <c r="CL223" s="103"/>
      <c r="CM223" s="103"/>
      <c r="CN223" s="103"/>
      <c r="CO223" s="103"/>
      <c r="CP223" s="103"/>
      <c r="CQ223" s="103"/>
      <c r="CR223" s="103"/>
      <c r="CS223" s="103"/>
      <c r="CT223" s="103"/>
      <c r="CU223" s="103"/>
      <c r="CV223" s="103"/>
      <c r="CW223" s="103"/>
      <c r="CX223" s="103"/>
    </row>
    <row r="224" spans="1:102" s="84" customFormat="1" ht="25.5" customHeight="1">
      <c r="A224" s="82" t="s">
        <v>38</v>
      </c>
      <c r="B224" s="303" t="s">
        <v>132</v>
      </c>
      <c r="C224" s="304"/>
      <c r="D224" s="42" t="s">
        <v>9</v>
      </c>
      <c r="E224" s="176">
        <f>ROUND((8*(E197+E186)),2)*3</f>
        <v>71942.4</v>
      </c>
      <c r="F224" s="80"/>
      <c r="G224" s="83">
        <f>F224*E224</f>
        <v>0</v>
      </c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</row>
    <row r="225" spans="1:102" s="84" customFormat="1" ht="24.95" customHeight="1">
      <c r="A225" s="82" t="s">
        <v>39</v>
      </c>
      <c r="B225" s="303" t="s">
        <v>124</v>
      </c>
      <c r="C225" s="304"/>
      <c r="D225" s="42" t="s">
        <v>9</v>
      </c>
      <c r="E225" s="176">
        <f>ROUND((2*(E197+E186)),2)*3</f>
        <v>17985.6</v>
      </c>
      <c r="F225" s="80"/>
      <c r="G225" s="83">
        <f>F225*E225</f>
        <v>0</v>
      </c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</row>
    <row r="226" spans="1:102" s="226" customFormat="1" ht="24.95" customHeight="1">
      <c r="A226" s="224"/>
      <c r="B226" s="288" t="s">
        <v>297</v>
      </c>
      <c r="C226" s="288"/>
      <c r="D226" s="228"/>
      <c r="E226" s="228"/>
      <c r="F226" s="229"/>
      <c r="G226" s="230">
        <f>SUM(G224:G225)</f>
        <v>0</v>
      </c>
      <c r="H226" s="225"/>
      <c r="I226" s="225"/>
      <c r="J226" s="225"/>
      <c r="K226" s="225"/>
      <c r="L226" s="225"/>
      <c r="M226" s="225"/>
      <c r="N226" s="225"/>
      <c r="O226" s="225"/>
      <c r="P226" s="225"/>
      <c r="Q226" s="225"/>
      <c r="R226" s="225"/>
      <c r="S226" s="225"/>
      <c r="T226" s="225"/>
      <c r="U226" s="225"/>
      <c r="V226" s="225"/>
      <c r="W226" s="225"/>
      <c r="X226" s="225"/>
      <c r="Y226" s="225"/>
      <c r="Z226" s="225"/>
      <c r="AA226" s="225"/>
      <c r="AB226" s="225"/>
      <c r="AC226" s="225"/>
      <c r="AD226" s="225"/>
      <c r="AE226" s="225"/>
      <c r="AF226" s="225"/>
      <c r="AG226" s="225"/>
      <c r="AH226" s="225"/>
      <c r="AI226" s="225"/>
      <c r="AJ226" s="225"/>
      <c r="AK226" s="225"/>
      <c r="AL226" s="225"/>
      <c r="AM226" s="225"/>
      <c r="AN226" s="225"/>
      <c r="AO226" s="225"/>
      <c r="AP226" s="225"/>
      <c r="AQ226" s="225"/>
      <c r="AR226" s="225"/>
      <c r="AS226" s="225"/>
      <c r="AT226" s="225"/>
      <c r="AU226" s="225"/>
      <c r="AV226" s="225"/>
      <c r="AW226" s="225"/>
      <c r="AX226" s="225"/>
      <c r="AY226" s="225"/>
      <c r="AZ226" s="225"/>
      <c r="BA226" s="225"/>
      <c r="BB226" s="225"/>
      <c r="BC226" s="225"/>
      <c r="BD226" s="225"/>
      <c r="BE226" s="225"/>
      <c r="BF226" s="225"/>
      <c r="BG226" s="225"/>
      <c r="BH226" s="225"/>
      <c r="BI226" s="225"/>
      <c r="BJ226" s="225"/>
      <c r="BK226" s="225"/>
      <c r="BL226" s="225"/>
      <c r="BM226" s="225"/>
      <c r="BN226" s="225"/>
      <c r="BO226" s="225"/>
      <c r="BP226" s="225"/>
      <c r="BQ226" s="225"/>
      <c r="BR226" s="225"/>
      <c r="BS226" s="225"/>
      <c r="BT226" s="225"/>
      <c r="BU226" s="225"/>
      <c r="BV226" s="225"/>
      <c r="BW226" s="225"/>
      <c r="BX226" s="225"/>
      <c r="BY226" s="225"/>
      <c r="BZ226" s="225"/>
      <c r="CA226" s="225"/>
      <c r="CB226" s="225"/>
      <c r="CC226" s="225"/>
      <c r="CD226" s="225"/>
      <c r="CE226" s="225"/>
      <c r="CF226" s="225"/>
      <c r="CG226" s="225"/>
      <c r="CH226" s="225"/>
      <c r="CI226" s="225"/>
      <c r="CJ226" s="225"/>
      <c r="CK226" s="225"/>
      <c r="CL226" s="225"/>
      <c r="CM226" s="225"/>
      <c r="CN226" s="225"/>
      <c r="CO226" s="225"/>
      <c r="CP226" s="225"/>
      <c r="CQ226" s="225"/>
      <c r="CR226" s="225"/>
      <c r="CS226" s="225"/>
      <c r="CT226" s="225"/>
      <c r="CU226" s="225"/>
      <c r="CV226" s="225"/>
      <c r="CW226" s="225"/>
      <c r="CX226" s="225"/>
    </row>
    <row r="227" spans="1:102" s="84" customFormat="1" ht="24.95" customHeight="1">
      <c r="A227" s="82" t="s">
        <v>16</v>
      </c>
      <c r="B227" s="297" t="s">
        <v>298</v>
      </c>
      <c r="C227" s="297"/>
      <c r="D227" s="79" t="s">
        <v>14</v>
      </c>
      <c r="E227" s="54">
        <f>0.1*(8+5)*3</f>
        <v>3.9000000000000004</v>
      </c>
      <c r="F227" s="80"/>
      <c r="G227" s="83">
        <f aca="true" t="shared" si="12" ref="G227:G228">F227*E227</f>
        <v>0</v>
      </c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</row>
    <row r="228" spans="1:102" s="84" customFormat="1" ht="24.95" customHeight="1">
      <c r="A228" s="82" t="s">
        <v>16</v>
      </c>
      <c r="B228" s="297" t="s">
        <v>299</v>
      </c>
      <c r="C228" s="297"/>
      <c r="D228" s="79" t="s">
        <v>59</v>
      </c>
      <c r="E228" s="54">
        <v>5</v>
      </c>
      <c r="F228" s="80"/>
      <c r="G228" s="83">
        <f t="shared" si="12"/>
        <v>0</v>
      </c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</row>
    <row r="229" spans="1:102" s="46" customFormat="1" ht="35.1" customHeight="1">
      <c r="A229" s="47"/>
      <c r="B229" s="301" t="s">
        <v>295</v>
      </c>
      <c r="C229" s="301"/>
      <c r="D229" s="301"/>
      <c r="E229" s="301"/>
      <c r="F229" s="301"/>
      <c r="G229" s="73">
        <f>SUM(G213+G226+G222+G227+G228)</f>
        <v>0</v>
      </c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  <c r="AR229" s="104"/>
      <c r="AS229" s="104"/>
      <c r="AT229" s="104"/>
      <c r="AU229" s="104"/>
      <c r="AV229" s="104"/>
      <c r="AW229" s="104"/>
      <c r="AX229" s="104"/>
      <c r="AY229" s="104"/>
      <c r="AZ229" s="104"/>
      <c r="BA229" s="104"/>
      <c r="BB229" s="104"/>
      <c r="BC229" s="104"/>
      <c r="BD229" s="104"/>
      <c r="BE229" s="104"/>
      <c r="BF229" s="104"/>
      <c r="BG229" s="104"/>
      <c r="BH229" s="104"/>
      <c r="BI229" s="104"/>
      <c r="BJ229" s="104"/>
      <c r="BK229" s="104"/>
      <c r="BL229" s="104"/>
      <c r="BM229" s="104"/>
      <c r="BN229" s="104"/>
      <c r="BO229" s="104"/>
      <c r="BP229" s="104"/>
      <c r="BQ229" s="104"/>
      <c r="BR229" s="104"/>
      <c r="BS229" s="104"/>
      <c r="BT229" s="104"/>
      <c r="BU229" s="104"/>
      <c r="BV229" s="104"/>
      <c r="BW229" s="104"/>
      <c r="BX229" s="104"/>
      <c r="BY229" s="104"/>
      <c r="BZ229" s="104"/>
      <c r="CA229" s="104"/>
      <c r="CB229" s="104"/>
      <c r="CC229" s="104"/>
      <c r="CD229" s="104"/>
      <c r="CE229" s="104"/>
      <c r="CF229" s="104"/>
      <c r="CG229" s="104"/>
      <c r="CH229" s="104"/>
      <c r="CI229" s="104"/>
      <c r="CJ229" s="104"/>
      <c r="CK229" s="104"/>
      <c r="CL229" s="104"/>
      <c r="CM229" s="104"/>
      <c r="CN229" s="104"/>
      <c r="CO229" s="104"/>
      <c r="CP229" s="104"/>
      <c r="CQ229" s="104"/>
      <c r="CR229" s="104"/>
      <c r="CS229" s="104"/>
      <c r="CT229" s="104"/>
      <c r="CU229" s="104"/>
      <c r="CV229" s="104"/>
      <c r="CW229" s="104"/>
      <c r="CX229" s="104"/>
    </row>
    <row r="230" spans="1:102" s="36" customFormat="1" ht="35.1" customHeight="1">
      <c r="A230" s="111"/>
      <c r="B230" s="356" t="s">
        <v>43</v>
      </c>
      <c r="C230" s="356"/>
      <c r="D230" s="356"/>
      <c r="E230" s="356"/>
      <c r="F230" s="356"/>
      <c r="G230" s="356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C230" s="105"/>
      <c r="CD230" s="105"/>
      <c r="CE230" s="105"/>
      <c r="CF230" s="105"/>
      <c r="CG230" s="105"/>
      <c r="CH230" s="105"/>
      <c r="CI230" s="105"/>
      <c r="CJ230" s="105"/>
      <c r="CK230" s="105"/>
      <c r="CL230" s="105"/>
      <c r="CM230" s="105"/>
      <c r="CN230" s="105"/>
      <c r="CO230" s="105"/>
      <c r="CP230" s="105"/>
      <c r="CQ230" s="105"/>
      <c r="CR230" s="105"/>
      <c r="CS230" s="105"/>
      <c r="CT230" s="105"/>
      <c r="CU230" s="105"/>
      <c r="CV230" s="105"/>
      <c r="CW230" s="105"/>
      <c r="CX230" s="105"/>
    </row>
    <row r="231" spans="1:102" s="25" customFormat="1" ht="24.95" customHeight="1">
      <c r="A231" s="290"/>
      <c r="B231" s="291" t="s">
        <v>6</v>
      </c>
      <c r="C231" s="291"/>
      <c r="D231" s="292" t="s">
        <v>47</v>
      </c>
      <c r="E231" s="293" t="s">
        <v>31</v>
      </c>
      <c r="F231" s="295" t="s">
        <v>4</v>
      </c>
      <c r="G231" s="296" t="s">
        <v>32</v>
      </c>
      <c r="H231" s="92"/>
      <c r="I231" s="92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  <c r="AV231" s="93"/>
      <c r="AW231" s="93"/>
      <c r="AX231" s="93"/>
      <c r="AY231" s="93"/>
      <c r="AZ231" s="93"/>
      <c r="BA231" s="93"/>
      <c r="BB231" s="93"/>
      <c r="BC231" s="93"/>
      <c r="BD231" s="93"/>
      <c r="BE231" s="93"/>
      <c r="BF231" s="93"/>
      <c r="BG231" s="93"/>
      <c r="BH231" s="93"/>
      <c r="BI231" s="93"/>
      <c r="BJ231" s="93"/>
      <c r="BK231" s="93"/>
      <c r="BL231" s="93"/>
      <c r="BM231" s="93"/>
      <c r="BN231" s="93"/>
      <c r="BO231" s="93"/>
      <c r="BP231" s="93"/>
      <c r="BQ231" s="93"/>
      <c r="BR231" s="93"/>
      <c r="BS231" s="93"/>
      <c r="BT231" s="93"/>
      <c r="BU231" s="93"/>
      <c r="BV231" s="93"/>
      <c r="BW231" s="93"/>
      <c r="BX231" s="93"/>
      <c r="BY231" s="93"/>
      <c r="BZ231" s="93"/>
      <c r="CA231" s="93"/>
      <c r="CB231" s="93"/>
      <c r="CC231" s="93"/>
      <c r="CD231" s="93"/>
      <c r="CE231" s="93"/>
      <c r="CF231" s="93"/>
      <c r="CG231" s="93"/>
      <c r="CH231" s="93"/>
      <c r="CI231" s="93"/>
      <c r="CJ231" s="93"/>
      <c r="CK231" s="93"/>
      <c r="CL231" s="93"/>
      <c r="CM231" s="93"/>
      <c r="CN231" s="93"/>
      <c r="CO231" s="93"/>
      <c r="CP231" s="93"/>
      <c r="CQ231" s="93"/>
      <c r="CR231" s="93"/>
      <c r="CS231" s="93"/>
      <c r="CT231" s="93"/>
      <c r="CU231" s="93"/>
      <c r="CV231" s="93"/>
      <c r="CW231" s="93"/>
      <c r="CX231" s="93"/>
    </row>
    <row r="232" spans="1:102" s="7" customFormat="1" ht="24.95" customHeight="1">
      <c r="A232" s="290"/>
      <c r="B232" s="291"/>
      <c r="C232" s="291"/>
      <c r="D232" s="292"/>
      <c r="E232" s="294"/>
      <c r="F232" s="295"/>
      <c r="G232" s="296"/>
      <c r="H232" s="5"/>
      <c r="I232" s="5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94"/>
      <c r="BA232" s="94"/>
      <c r="BB232" s="94"/>
      <c r="BC232" s="94"/>
      <c r="BD232" s="94"/>
      <c r="BE232" s="94"/>
      <c r="BF232" s="94"/>
      <c r="BG232" s="94"/>
      <c r="BH232" s="94"/>
      <c r="BI232" s="94"/>
      <c r="BJ232" s="94"/>
      <c r="BK232" s="94"/>
      <c r="BL232" s="94"/>
      <c r="BM232" s="94"/>
      <c r="BN232" s="94"/>
      <c r="BO232" s="94"/>
      <c r="BP232" s="94"/>
      <c r="BQ232" s="94"/>
      <c r="BR232" s="94"/>
      <c r="BS232" s="94"/>
      <c r="BT232" s="94"/>
      <c r="BU232" s="94"/>
      <c r="BV232" s="94"/>
      <c r="BW232" s="94"/>
      <c r="BX232" s="94"/>
      <c r="BY232" s="94"/>
      <c r="BZ232" s="94"/>
      <c r="CA232" s="94"/>
      <c r="CB232" s="94"/>
      <c r="CC232" s="94"/>
      <c r="CD232" s="94"/>
      <c r="CE232" s="94"/>
      <c r="CF232" s="94"/>
      <c r="CG232" s="94"/>
      <c r="CH232" s="94"/>
      <c r="CI232" s="94"/>
      <c r="CJ232" s="94"/>
      <c r="CK232" s="94"/>
      <c r="CL232" s="94"/>
      <c r="CM232" s="94"/>
      <c r="CN232" s="94"/>
      <c r="CO232" s="94"/>
      <c r="CP232" s="94"/>
      <c r="CQ232" s="94"/>
      <c r="CR232" s="94"/>
      <c r="CS232" s="94"/>
      <c r="CT232" s="94"/>
      <c r="CU232" s="94"/>
      <c r="CV232" s="94"/>
      <c r="CW232" s="94"/>
      <c r="CX232" s="94"/>
    </row>
    <row r="233" spans="1:103" s="40" customFormat="1" ht="24.95" customHeight="1">
      <c r="A233" s="122"/>
      <c r="B233" s="364" t="s">
        <v>79</v>
      </c>
      <c r="C233" s="364"/>
      <c r="D233" s="364"/>
      <c r="E233" s="364"/>
      <c r="F233" s="364"/>
      <c r="G233" s="365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86"/>
    </row>
    <row r="234" spans="1:103" s="40" customFormat="1" ht="24.95" customHeight="1">
      <c r="A234" s="115" t="s">
        <v>16</v>
      </c>
      <c r="B234" s="366" t="s">
        <v>69</v>
      </c>
      <c r="C234" s="366"/>
      <c r="D234" s="116" t="s">
        <v>9</v>
      </c>
      <c r="E234" s="42">
        <v>68</v>
      </c>
      <c r="F234" s="173"/>
      <c r="G234" s="72">
        <f>E234*F234</f>
        <v>0</v>
      </c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86"/>
    </row>
    <row r="235" spans="1:103" s="40" customFormat="1" ht="24.95" customHeight="1">
      <c r="A235" s="115" t="s">
        <v>16</v>
      </c>
      <c r="B235" s="366" t="s">
        <v>70</v>
      </c>
      <c r="C235" s="366"/>
      <c r="D235" s="116" t="s">
        <v>10</v>
      </c>
      <c r="E235" s="54">
        <f>E234*0.24*1.3</f>
        <v>21.216</v>
      </c>
      <c r="F235" s="173"/>
      <c r="G235" s="72">
        <f aca="true" t="shared" si="13" ref="G235:G252">E235*F235</f>
        <v>0</v>
      </c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86"/>
    </row>
    <row r="236" spans="1:103" s="40" customFormat="1" ht="24.95" customHeight="1">
      <c r="A236" s="115" t="s">
        <v>16</v>
      </c>
      <c r="B236" s="366" t="s">
        <v>71</v>
      </c>
      <c r="C236" s="366"/>
      <c r="D236" s="116" t="s">
        <v>14</v>
      </c>
      <c r="E236" s="54">
        <f>E235*1.8</f>
        <v>38.1888</v>
      </c>
      <c r="F236" s="173"/>
      <c r="G236" s="72">
        <f t="shared" si="13"/>
        <v>0</v>
      </c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86"/>
    </row>
    <row r="237" spans="1:103" s="40" customFormat="1" ht="24.95" customHeight="1">
      <c r="A237" s="115" t="s">
        <v>16</v>
      </c>
      <c r="B237" s="366" t="s">
        <v>45</v>
      </c>
      <c r="C237" s="366"/>
      <c r="D237" s="116" t="s">
        <v>9</v>
      </c>
      <c r="E237" s="42">
        <f>E234</f>
        <v>68</v>
      </c>
      <c r="F237" s="173"/>
      <c r="G237" s="72">
        <f t="shared" si="13"/>
        <v>0</v>
      </c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86"/>
    </row>
    <row r="238" spans="1:103" s="238" customFormat="1" ht="24.95" customHeight="1">
      <c r="A238" s="232" t="s">
        <v>16</v>
      </c>
      <c r="B238" s="367" t="s">
        <v>72</v>
      </c>
      <c r="C238" s="367"/>
      <c r="D238" s="233" t="s">
        <v>73</v>
      </c>
      <c r="E238" s="243">
        <v>1</v>
      </c>
      <c r="F238" s="234"/>
      <c r="G238" s="235">
        <f t="shared" si="13"/>
        <v>0</v>
      </c>
      <c r="H238" s="236"/>
      <c r="I238" s="236"/>
      <c r="J238" s="236"/>
      <c r="K238" s="236"/>
      <c r="L238" s="236"/>
      <c r="M238" s="236"/>
      <c r="N238" s="236"/>
      <c r="O238" s="236"/>
      <c r="P238" s="236"/>
      <c r="Q238" s="236"/>
      <c r="R238" s="236"/>
      <c r="S238" s="236"/>
      <c r="T238" s="236"/>
      <c r="U238" s="236"/>
      <c r="V238" s="236"/>
      <c r="W238" s="236"/>
      <c r="X238" s="236"/>
      <c r="Y238" s="236"/>
      <c r="Z238" s="236"/>
      <c r="AA238" s="236"/>
      <c r="AB238" s="236"/>
      <c r="AC238" s="236"/>
      <c r="AD238" s="236"/>
      <c r="AE238" s="236"/>
      <c r="AF238" s="236"/>
      <c r="AG238" s="236"/>
      <c r="AH238" s="236"/>
      <c r="AI238" s="236"/>
      <c r="AJ238" s="236"/>
      <c r="AK238" s="236"/>
      <c r="AL238" s="236"/>
      <c r="AM238" s="236"/>
      <c r="AN238" s="236"/>
      <c r="AO238" s="236"/>
      <c r="AP238" s="236"/>
      <c r="AQ238" s="236"/>
      <c r="AR238" s="236"/>
      <c r="AS238" s="236"/>
      <c r="AT238" s="236"/>
      <c r="AU238" s="236"/>
      <c r="AV238" s="236"/>
      <c r="AW238" s="236"/>
      <c r="AX238" s="236"/>
      <c r="AY238" s="236"/>
      <c r="AZ238" s="236"/>
      <c r="BA238" s="236"/>
      <c r="BB238" s="236"/>
      <c r="BC238" s="236"/>
      <c r="BD238" s="236"/>
      <c r="BE238" s="236"/>
      <c r="BF238" s="236"/>
      <c r="BG238" s="236"/>
      <c r="BH238" s="236"/>
      <c r="BI238" s="236"/>
      <c r="BJ238" s="236"/>
      <c r="BK238" s="236"/>
      <c r="BL238" s="236"/>
      <c r="BM238" s="236"/>
      <c r="BN238" s="236"/>
      <c r="BO238" s="236"/>
      <c r="BP238" s="236"/>
      <c r="BQ238" s="236"/>
      <c r="BR238" s="236"/>
      <c r="BS238" s="236"/>
      <c r="BT238" s="236"/>
      <c r="BU238" s="236"/>
      <c r="BV238" s="236"/>
      <c r="BW238" s="236"/>
      <c r="BX238" s="236"/>
      <c r="BY238" s="236"/>
      <c r="BZ238" s="236"/>
      <c r="CA238" s="236"/>
      <c r="CB238" s="236"/>
      <c r="CC238" s="236"/>
      <c r="CD238" s="236"/>
      <c r="CE238" s="236"/>
      <c r="CF238" s="236"/>
      <c r="CG238" s="236"/>
      <c r="CH238" s="236"/>
      <c r="CI238" s="236"/>
      <c r="CJ238" s="236"/>
      <c r="CK238" s="236"/>
      <c r="CL238" s="236"/>
      <c r="CM238" s="236"/>
      <c r="CN238" s="236"/>
      <c r="CO238" s="236"/>
      <c r="CP238" s="236"/>
      <c r="CQ238" s="236"/>
      <c r="CR238" s="236"/>
      <c r="CS238" s="236"/>
      <c r="CT238" s="236"/>
      <c r="CU238" s="236"/>
      <c r="CV238" s="236"/>
      <c r="CW238" s="236"/>
      <c r="CX238" s="236"/>
      <c r="CY238" s="237"/>
    </row>
    <row r="239" spans="1:103" s="238" customFormat="1" ht="24.95" customHeight="1">
      <c r="A239" s="239" t="s">
        <v>126</v>
      </c>
      <c r="B239" s="368" t="s">
        <v>125</v>
      </c>
      <c r="C239" s="367"/>
      <c r="D239" s="240" t="s">
        <v>10</v>
      </c>
      <c r="E239" s="244">
        <f>0.1*E234</f>
        <v>6.800000000000001</v>
      </c>
      <c r="F239" s="241"/>
      <c r="G239" s="235">
        <f t="shared" si="13"/>
        <v>0</v>
      </c>
      <c r="H239" s="236"/>
      <c r="I239" s="236"/>
      <c r="J239" s="236"/>
      <c r="K239" s="236"/>
      <c r="L239" s="236"/>
      <c r="M239" s="236"/>
      <c r="N239" s="236"/>
      <c r="O239" s="236"/>
      <c r="P239" s="236"/>
      <c r="Q239" s="236"/>
      <c r="R239" s="236"/>
      <c r="S239" s="236"/>
      <c r="T239" s="236"/>
      <c r="U239" s="236"/>
      <c r="V239" s="236"/>
      <c r="W239" s="236"/>
      <c r="X239" s="236"/>
      <c r="Y239" s="236"/>
      <c r="Z239" s="236"/>
      <c r="AA239" s="236"/>
      <c r="AB239" s="236"/>
      <c r="AC239" s="236"/>
      <c r="AD239" s="236"/>
      <c r="AE239" s="236"/>
      <c r="AF239" s="236"/>
      <c r="AG239" s="236"/>
      <c r="AH239" s="236"/>
      <c r="AI239" s="236"/>
      <c r="AJ239" s="236"/>
      <c r="AK239" s="236"/>
      <c r="AL239" s="236"/>
      <c r="AM239" s="236"/>
      <c r="AN239" s="236"/>
      <c r="AO239" s="236"/>
      <c r="AP239" s="236"/>
      <c r="AQ239" s="236"/>
      <c r="AR239" s="236"/>
      <c r="AS239" s="236"/>
      <c r="AT239" s="236"/>
      <c r="AU239" s="236"/>
      <c r="AV239" s="236"/>
      <c r="AW239" s="236"/>
      <c r="AX239" s="236"/>
      <c r="AY239" s="236"/>
      <c r="AZ239" s="236"/>
      <c r="BA239" s="236"/>
      <c r="BB239" s="236"/>
      <c r="BC239" s="236"/>
      <c r="BD239" s="236"/>
      <c r="BE239" s="236"/>
      <c r="BF239" s="236"/>
      <c r="BG239" s="236"/>
      <c r="BH239" s="236"/>
      <c r="BI239" s="236"/>
      <c r="BJ239" s="236"/>
      <c r="BK239" s="236"/>
      <c r="BL239" s="236"/>
      <c r="BM239" s="236"/>
      <c r="BN239" s="236"/>
      <c r="BO239" s="236"/>
      <c r="BP239" s="236"/>
      <c r="BQ239" s="236"/>
      <c r="BR239" s="236"/>
      <c r="BS239" s="236"/>
      <c r="BT239" s="236"/>
      <c r="BU239" s="236"/>
      <c r="BV239" s="236"/>
      <c r="BW239" s="236"/>
      <c r="BX239" s="236"/>
      <c r="BY239" s="236"/>
      <c r="BZ239" s="236"/>
      <c r="CA239" s="236"/>
      <c r="CB239" s="236"/>
      <c r="CC239" s="236"/>
      <c r="CD239" s="236"/>
      <c r="CE239" s="236"/>
      <c r="CF239" s="236"/>
      <c r="CG239" s="236"/>
      <c r="CH239" s="236"/>
      <c r="CI239" s="236"/>
      <c r="CJ239" s="236"/>
      <c r="CK239" s="236"/>
      <c r="CL239" s="236"/>
      <c r="CM239" s="236"/>
      <c r="CN239" s="236"/>
      <c r="CO239" s="236"/>
      <c r="CP239" s="236"/>
      <c r="CQ239" s="236"/>
      <c r="CR239" s="236"/>
      <c r="CS239" s="236"/>
      <c r="CT239" s="236"/>
      <c r="CU239" s="236"/>
      <c r="CV239" s="236"/>
      <c r="CW239" s="236"/>
      <c r="CX239" s="236"/>
      <c r="CY239" s="237"/>
    </row>
    <row r="240" spans="1:103" s="238" customFormat="1" ht="24.95" customHeight="1">
      <c r="A240" s="232" t="s">
        <v>16</v>
      </c>
      <c r="B240" s="368" t="s">
        <v>127</v>
      </c>
      <c r="C240" s="367"/>
      <c r="D240" s="240" t="s">
        <v>10</v>
      </c>
      <c r="E240" s="244">
        <f>E239</f>
        <v>6.800000000000001</v>
      </c>
      <c r="F240" s="241"/>
      <c r="G240" s="235">
        <f t="shared" si="13"/>
        <v>0</v>
      </c>
      <c r="H240" s="236"/>
      <c r="I240" s="236"/>
      <c r="J240" s="236"/>
      <c r="K240" s="236"/>
      <c r="L240" s="236"/>
      <c r="M240" s="236"/>
      <c r="N240" s="236"/>
      <c r="O240" s="236"/>
      <c r="P240" s="236"/>
      <c r="Q240" s="236"/>
      <c r="R240" s="236"/>
      <c r="S240" s="236"/>
      <c r="T240" s="236"/>
      <c r="U240" s="236"/>
      <c r="V240" s="236"/>
      <c r="W240" s="236"/>
      <c r="X240" s="236"/>
      <c r="Y240" s="236"/>
      <c r="Z240" s="236"/>
      <c r="AA240" s="236"/>
      <c r="AB240" s="236"/>
      <c r="AC240" s="236"/>
      <c r="AD240" s="236"/>
      <c r="AE240" s="236"/>
      <c r="AF240" s="236"/>
      <c r="AG240" s="236"/>
      <c r="AH240" s="236"/>
      <c r="AI240" s="236"/>
      <c r="AJ240" s="236"/>
      <c r="AK240" s="236"/>
      <c r="AL240" s="236"/>
      <c r="AM240" s="236"/>
      <c r="AN240" s="236"/>
      <c r="AO240" s="236"/>
      <c r="AP240" s="236"/>
      <c r="AQ240" s="236"/>
      <c r="AR240" s="236"/>
      <c r="AS240" s="236"/>
      <c r="AT240" s="236"/>
      <c r="AU240" s="236"/>
      <c r="AV240" s="236"/>
      <c r="AW240" s="236"/>
      <c r="AX240" s="236"/>
      <c r="AY240" s="236"/>
      <c r="AZ240" s="236"/>
      <c r="BA240" s="236"/>
      <c r="BB240" s="236"/>
      <c r="BC240" s="236"/>
      <c r="BD240" s="236"/>
      <c r="BE240" s="236"/>
      <c r="BF240" s="236"/>
      <c r="BG240" s="236"/>
      <c r="BH240" s="236"/>
      <c r="BI240" s="236"/>
      <c r="BJ240" s="236"/>
      <c r="BK240" s="236"/>
      <c r="BL240" s="236"/>
      <c r="BM240" s="236"/>
      <c r="BN240" s="236"/>
      <c r="BO240" s="236"/>
      <c r="BP240" s="236"/>
      <c r="BQ240" s="236"/>
      <c r="BR240" s="236"/>
      <c r="BS240" s="236"/>
      <c r="BT240" s="236"/>
      <c r="BU240" s="236"/>
      <c r="BV240" s="236"/>
      <c r="BW240" s="236"/>
      <c r="BX240" s="236"/>
      <c r="BY240" s="236"/>
      <c r="BZ240" s="236"/>
      <c r="CA240" s="236"/>
      <c r="CB240" s="236"/>
      <c r="CC240" s="236"/>
      <c r="CD240" s="236"/>
      <c r="CE240" s="236"/>
      <c r="CF240" s="236"/>
      <c r="CG240" s="236"/>
      <c r="CH240" s="236"/>
      <c r="CI240" s="236"/>
      <c r="CJ240" s="236"/>
      <c r="CK240" s="236"/>
      <c r="CL240" s="236"/>
      <c r="CM240" s="236"/>
      <c r="CN240" s="236"/>
      <c r="CO240" s="236"/>
      <c r="CP240" s="236"/>
      <c r="CQ240" s="236"/>
      <c r="CR240" s="236"/>
      <c r="CS240" s="236"/>
      <c r="CT240" s="236"/>
      <c r="CU240" s="236"/>
      <c r="CV240" s="236"/>
      <c r="CW240" s="236"/>
      <c r="CX240" s="236"/>
      <c r="CY240" s="237"/>
    </row>
    <row r="241" spans="1:103" s="238" customFormat="1" ht="24.95" customHeight="1">
      <c r="A241" s="232" t="s">
        <v>17</v>
      </c>
      <c r="B241" s="368" t="s">
        <v>74</v>
      </c>
      <c r="C241" s="367"/>
      <c r="D241" s="240" t="s">
        <v>14</v>
      </c>
      <c r="E241" s="243">
        <f>E234*0.1*2</f>
        <v>13.600000000000001</v>
      </c>
      <c r="F241" s="241"/>
      <c r="G241" s="235">
        <f t="shared" si="13"/>
        <v>0</v>
      </c>
      <c r="H241" s="236"/>
      <c r="I241" s="236"/>
      <c r="J241" s="236"/>
      <c r="K241" s="236"/>
      <c r="L241" s="236"/>
      <c r="M241" s="236"/>
      <c r="N241" s="236"/>
      <c r="O241" s="236"/>
      <c r="P241" s="236"/>
      <c r="Q241" s="236"/>
      <c r="R241" s="236"/>
      <c r="S241" s="236"/>
      <c r="T241" s="236"/>
      <c r="U241" s="236"/>
      <c r="V241" s="236"/>
      <c r="W241" s="236"/>
      <c r="X241" s="236"/>
      <c r="Y241" s="236"/>
      <c r="Z241" s="236"/>
      <c r="AA241" s="236"/>
      <c r="AB241" s="236"/>
      <c r="AC241" s="236"/>
      <c r="AD241" s="236"/>
      <c r="AE241" s="236"/>
      <c r="AF241" s="236"/>
      <c r="AG241" s="236"/>
      <c r="AH241" s="236"/>
      <c r="AI241" s="236"/>
      <c r="AJ241" s="236"/>
      <c r="AK241" s="236"/>
      <c r="AL241" s="236"/>
      <c r="AM241" s="236"/>
      <c r="AN241" s="236"/>
      <c r="AO241" s="236"/>
      <c r="AP241" s="236"/>
      <c r="AQ241" s="236"/>
      <c r="AR241" s="236"/>
      <c r="AS241" s="236"/>
      <c r="AT241" s="236"/>
      <c r="AU241" s="236"/>
      <c r="AV241" s="236"/>
      <c r="AW241" s="236"/>
      <c r="AX241" s="236"/>
      <c r="AY241" s="236"/>
      <c r="AZ241" s="236"/>
      <c r="BA241" s="236"/>
      <c r="BB241" s="236"/>
      <c r="BC241" s="236"/>
      <c r="BD241" s="236"/>
      <c r="BE241" s="236"/>
      <c r="BF241" s="236"/>
      <c r="BG241" s="236"/>
      <c r="BH241" s="236"/>
      <c r="BI241" s="236"/>
      <c r="BJ241" s="236"/>
      <c r="BK241" s="236"/>
      <c r="BL241" s="236"/>
      <c r="BM241" s="236"/>
      <c r="BN241" s="236"/>
      <c r="BO241" s="236"/>
      <c r="BP241" s="236"/>
      <c r="BQ241" s="236"/>
      <c r="BR241" s="236"/>
      <c r="BS241" s="236"/>
      <c r="BT241" s="236"/>
      <c r="BU241" s="236"/>
      <c r="BV241" s="236"/>
      <c r="BW241" s="236"/>
      <c r="BX241" s="236"/>
      <c r="BY241" s="236"/>
      <c r="BZ241" s="236"/>
      <c r="CA241" s="236"/>
      <c r="CB241" s="236"/>
      <c r="CC241" s="236"/>
      <c r="CD241" s="236"/>
      <c r="CE241" s="236"/>
      <c r="CF241" s="236"/>
      <c r="CG241" s="236"/>
      <c r="CH241" s="236"/>
      <c r="CI241" s="236"/>
      <c r="CJ241" s="236"/>
      <c r="CK241" s="236"/>
      <c r="CL241" s="236"/>
      <c r="CM241" s="236"/>
      <c r="CN241" s="236"/>
      <c r="CO241" s="236"/>
      <c r="CP241" s="236"/>
      <c r="CQ241" s="236"/>
      <c r="CR241" s="236"/>
      <c r="CS241" s="236"/>
      <c r="CT241" s="236"/>
      <c r="CU241" s="236"/>
      <c r="CV241" s="236"/>
      <c r="CW241" s="236"/>
      <c r="CX241" s="236"/>
      <c r="CY241" s="237"/>
    </row>
    <row r="242" spans="1:103" s="40" customFormat="1" ht="24.95" customHeight="1">
      <c r="A242" s="118" t="s">
        <v>16</v>
      </c>
      <c r="B242" s="369" t="s">
        <v>75</v>
      </c>
      <c r="C242" s="370"/>
      <c r="D242" s="119" t="s">
        <v>73</v>
      </c>
      <c r="E242" s="42">
        <v>1</v>
      </c>
      <c r="F242" s="174"/>
      <c r="G242" s="72">
        <f t="shared" si="13"/>
        <v>0</v>
      </c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86"/>
    </row>
    <row r="243" spans="1:103" s="40" customFormat="1" ht="24.95" customHeight="1">
      <c r="A243" s="79" t="s">
        <v>126</v>
      </c>
      <c r="B243" s="369" t="s">
        <v>125</v>
      </c>
      <c r="C243" s="370"/>
      <c r="D243" s="120" t="s">
        <v>10</v>
      </c>
      <c r="E243" s="54">
        <f>0.1*E234</f>
        <v>6.800000000000001</v>
      </c>
      <c r="F243" s="175"/>
      <c r="G243" s="72">
        <f t="shared" si="13"/>
        <v>0</v>
      </c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86"/>
    </row>
    <row r="244" spans="1:103" s="40" customFormat="1" ht="24.95" customHeight="1">
      <c r="A244" s="118" t="s">
        <v>16</v>
      </c>
      <c r="B244" s="369" t="s">
        <v>128</v>
      </c>
      <c r="C244" s="370"/>
      <c r="D244" s="120" t="s">
        <v>10</v>
      </c>
      <c r="E244" s="42">
        <f>E243</f>
        <v>6.800000000000001</v>
      </c>
      <c r="F244" s="175"/>
      <c r="G244" s="72">
        <f t="shared" si="13"/>
        <v>0</v>
      </c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86"/>
    </row>
    <row r="245" spans="1:103" s="40" customFormat="1" ht="24.95" customHeight="1">
      <c r="A245" s="118" t="s">
        <v>17</v>
      </c>
      <c r="B245" s="369" t="s">
        <v>133</v>
      </c>
      <c r="C245" s="370"/>
      <c r="D245" s="120" t="s">
        <v>14</v>
      </c>
      <c r="E245" s="42">
        <f>0.1*E234*2</f>
        <v>13.600000000000001</v>
      </c>
      <c r="F245" s="175"/>
      <c r="G245" s="72">
        <f t="shared" si="13"/>
        <v>0</v>
      </c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86"/>
    </row>
    <row r="246" spans="1:103" s="238" customFormat="1" ht="24.95" customHeight="1">
      <c r="A246" s="232" t="s">
        <v>16</v>
      </c>
      <c r="B246" s="367" t="s">
        <v>76</v>
      </c>
      <c r="C246" s="367"/>
      <c r="D246" s="233" t="s">
        <v>73</v>
      </c>
      <c r="E246" s="243">
        <v>1</v>
      </c>
      <c r="F246" s="234"/>
      <c r="G246" s="235">
        <f t="shared" si="13"/>
        <v>0</v>
      </c>
      <c r="H246" s="236"/>
      <c r="I246" s="236"/>
      <c r="J246" s="236"/>
      <c r="K246" s="236"/>
      <c r="L246" s="236"/>
      <c r="M246" s="236"/>
      <c r="N246" s="236"/>
      <c r="O246" s="236"/>
      <c r="P246" s="236"/>
      <c r="Q246" s="236"/>
      <c r="R246" s="236"/>
      <c r="S246" s="236"/>
      <c r="T246" s="236"/>
      <c r="U246" s="236"/>
      <c r="V246" s="236"/>
      <c r="W246" s="236"/>
      <c r="X246" s="236"/>
      <c r="Y246" s="236"/>
      <c r="Z246" s="236"/>
      <c r="AA246" s="236"/>
      <c r="AB246" s="236"/>
      <c r="AC246" s="236"/>
      <c r="AD246" s="236"/>
      <c r="AE246" s="236"/>
      <c r="AF246" s="236"/>
      <c r="AG246" s="236"/>
      <c r="AH246" s="236"/>
      <c r="AI246" s="236"/>
      <c r="AJ246" s="236"/>
      <c r="AK246" s="236"/>
      <c r="AL246" s="236"/>
      <c r="AM246" s="236"/>
      <c r="AN246" s="236"/>
      <c r="AO246" s="236"/>
      <c r="AP246" s="236"/>
      <c r="AQ246" s="236"/>
      <c r="AR246" s="236"/>
      <c r="AS246" s="236"/>
      <c r="AT246" s="236"/>
      <c r="AU246" s="236"/>
      <c r="AV246" s="236"/>
      <c r="AW246" s="236"/>
      <c r="AX246" s="236"/>
      <c r="AY246" s="236"/>
      <c r="AZ246" s="236"/>
      <c r="BA246" s="236"/>
      <c r="BB246" s="236"/>
      <c r="BC246" s="236"/>
      <c r="BD246" s="236"/>
      <c r="BE246" s="236"/>
      <c r="BF246" s="236"/>
      <c r="BG246" s="236"/>
      <c r="BH246" s="236"/>
      <c r="BI246" s="236"/>
      <c r="BJ246" s="236"/>
      <c r="BK246" s="236"/>
      <c r="BL246" s="236"/>
      <c r="BM246" s="236"/>
      <c r="BN246" s="236"/>
      <c r="BO246" s="236"/>
      <c r="BP246" s="236"/>
      <c r="BQ246" s="236"/>
      <c r="BR246" s="236"/>
      <c r="BS246" s="236"/>
      <c r="BT246" s="236"/>
      <c r="BU246" s="236"/>
      <c r="BV246" s="236"/>
      <c r="BW246" s="236"/>
      <c r="BX246" s="236"/>
      <c r="BY246" s="236"/>
      <c r="BZ246" s="236"/>
      <c r="CA246" s="236"/>
      <c r="CB246" s="236"/>
      <c r="CC246" s="236"/>
      <c r="CD246" s="236"/>
      <c r="CE246" s="236"/>
      <c r="CF246" s="236"/>
      <c r="CG246" s="236"/>
      <c r="CH246" s="236"/>
      <c r="CI246" s="236"/>
      <c r="CJ246" s="236"/>
      <c r="CK246" s="236"/>
      <c r="CL246" s="236"/>
      <c r="CM246" s="236"/>
      <c r="CN246" s="236"/>
      <c r="CO246" s="236"/>
      <c r="CP246" s="236"/>
      <c r="CQ246" s="236"/>
      <c r="CR246" s="236"/>
      <c r="CS246" s="236"/>
      <c r="CT246" s="236"/>
      <c r="CU246" s="236"/>
      <c r="CV246" s="236"/>
      <c r="CW246" s="236"/>
      <c r="CX246" s="236"/>
      <c r="CY246" s="237"/>
    </row>
    <row r="247" spans="1:103" s="238" customFormat="1" ht="24.95" customHeight="1">
      <c r="A247" s="239" t="s">
        <v>126</v>
      </c>
      <c r="B247" s="368" t="s">
        <v>125</v>
      </c>
      <c r="C247" s="367"/>
      <c r="D247" s="240" t="s">
        <v>10</v>
      </c>
      <c r="E247" s="244">
        <f>0.04*E234</f>
        <v>2.72</v>
      </c>
      <c r="F247" s="241"/>
      <c r="G247" s="235">
        <f t="shared" si="13"/>
        <v>0</v>
      </c>
      <c r="H247" s="236"/>
      <c r="I247" s="236"/>
      <c r="J247" s="236"/>
      <c r="K247" s="236"/>
      <c r="L247" s="236"/>
      <c r="M247" s="236"/>
      <c r="N247" s="236"/>
      <c r="O247" s="236"/>
      <c r="P247" s="236"/>
      <c r="Q247" s="236"/>
      <c r="R247" s="236"/>
      <c r="S247" s="236"/>
      <c r="T247" s="236"/>
      <c r="U247" s="236"/>
      <c r="V247" s="236"/>
      <c r="W247" s="236"/>
      <c r="X247" s="236"/>
      <c r="Y247" s="236"/>
      <c r="Z247" s="236"/>
      <c r="AA247" s="236"/>
      <c r="AB247" s="236"/>
      <c r="AC247" s="236"/>
      <c r="AD247" s="236"/>
      <c r="AE247" s="236"/>
      <c r="AF247" s="236"/>
      <c r="AG247" s="236"/>
      <c r="AH247" s="236"/>
      <c r="AI247" s="236"/>
      <c r="AJ247" s="236"/>
      <c r="AK247" s="236"/>
      <c r="AL247" s="236"/>
      <c r="AM247" s="236"/>
      <c r="AN247" s="236"/>
      <c r="AO247" s="236"/>
      <c r="AP247" s="236"/>
      <c r="AQ247" s="236"/>
      <c r="AR247" s="236"/>
      <c r="AS247" s="236"/>
      <c r="AT247" s="236"/>
      <c r="AU247" s="236"/>
      <c r="AV247" s="236"/>
      <c r="AW247" s="236"/>
      <c r="AX247" s="236"/>
      <c r="AY247" s="236"/>
      <c r="AZ247" s="236"/>
      <c r="BA247" s="236"/>
      <c r="BB247" s="236"/>
      <c r="BC247" s="236"/>
      <c r="BD247" s="236"/>
      <c r="BE247" s="236"/>
      <c r="BF247" s="236"/>
      <c r="BG247" s="236"/>
      <c r="BH247" s="236"/>
      <c r="BI247" s="236"/>
      <c r="BJ247" s="236"/>
      <c r="BK247" s="236"/>
      <c r="BL247" s="236"/>
      <c r="BM247" s="236"/>
      <c r="BN247" s="236"/>
      <c r="BO247" s="236"/>
      <c r="BP247" s="236"/>
      <c r="BQ247" s="236"/>
      <c r="BR247" s="236"/>
      <c r="BS247" s="236"/>
      <c r="BT247" s="236"/>
      <c r="BU247" s="236"/>
      <c r="BV247" s="236"/>
      <c r="BW247" s="236"/>
      <c r="BX247" s="236"/>
      <c r="BY247" s="236"/>
      <c r="BZ247" s="236"/>
      <c r="CA247" s="236"/>
      <c r="CB247" s="236"/>
      <c r="CC247" s="236"/>
      <c r="CD247" s="236"/>
      <c r="CE247" s="236"/>
      <c r="CF247" s="236"/>
      <c r="CG247" s="236"/>
      <c r="CH247" s="236"/>
      <c r="CI247" s="236"/>
      <c r="CJ247" s="236"/>
      <c r="CK247" s="236"/>
      <c r="CL247" s="236"/>
      <c r="CM247" s="236"/>
      <c r="CN247" s="236"/>
      <c r="CO247" s="236"/>
      <c r="CP247" s="236"/>
      <c r="CQ247" s="236"/>
      <c r="CR247" s="236"/>
      <c r="CS247" s="236"/>
      <c r="CT247" s="236"/>
      <c r="CU247" s="236"/>
      <c r="CV247" s="236"/>
      <c r="CW247" s="236"/>
      <c r="CX247" s="236"/>
      <c r="CY247" s="237"/>
    </row>
    <row r="248" spans="1:103" s="238" customFormat="1" ht="24.95" customHeight="1">
      <c r="A248" s="239" t="s">
        <v>16</v>
      </c>
      <c r="B248" s="368" t="s">
        <v>77</v>
      </c>
      <c r="C248" s="368"/>
      <c r="D248" s="240" t="s">
        <v>10</v>
      </c>
      <c r="E248" s="244">
        <f>E247</f>
        <v>2.72</v>
      </c>
      <c r="F248" s="241"/>
      <c r="G248" s="235">
        <f t="shared" si="13"/>
        <v>0</v>
      </c>
      <c r="H248" s="236"/>
      <c r="I248" s="236"/>
      <c r="J248" s="236"/>
      <c r="K248" s="236"/>
      <c r="L248" s="236"/>
      <c r="M248" s="236"/>
      <c r="N248" s="236"/>
      <c r="O248" s="236"/>
      <c r="P248" s="236"/>
      <c r="Q248" s="236"/>
      <c r="R248" s="236"/>
      <c r="S248" s="236"/>
      <c r="T248" s="236"/>
      <c r="U248" s="236"/>
      <c r="V248" s="236"/>
      <c r="W248" s="236"/>
      <c r="X248" s="236"/>
      <c r="Y248" s="236"/>
      <c r="Z248" s="236"/>
      <c r="AA248" s="236"/>
      <c r="AB248" s="236"/>
      <c r="AC248" s="236"/>
      <c r="AD248" s="236"/>
      <c r="AE248" s="236"/>
      <c r="AF248" s="236"/>
      <c r="AG248" s="236"/>
      <c r="AH248" s="236"/>
      <c r="AI248" s="236"/>
      <c r="AJ248" s="236"/>
      <c r="AK248" s="236"/>
      <c r="AL248" s="236"/>
      <c r="AM248" s="236"/>
      <c r="AN248" s="236"/>
      <c r="AO248" s="236"/>
      <c r="AP248" s="236"/>
      <c r="AQ248" s="236"/>
      <c r="AR248" s="236"/>
      <c r="AS248" s="236"/>
      <c r="AT248" s="236"/>
      <c r="AU248" s="236"/>
      <c r="AV248" s="236"/>
      <c r="AW248" s="236"/>
      <c r="AX248" s="236"/>
      <c r="AY248" s="236"/>
      <c r="AZ248" s="236"/>
      <c r="BA248" s="236"/>
      <c r="BB248" s="236"/>
      <c r="BC248" s="236"/>
      <c r="BD248" s="236"/>
      <c r="BE248" s="236"/>
      <c r="BF248" s="236"/>
      <c r="BG248" s="236"/>
      <c r="BH248" s="236"/>
      <c r="BI248" s="236"/>
      <c r="BJ248" s="236"/>
      <c r="BK248" s="236"/>
      <c r="BL248" s="236"/>
      <c r="BM248" s="236"/>
      <c r="BN248" s="236"/>
      <c r="BO248" s="236"/>
      <c r="BP248" s="236"/>
      <c r="BQ248" s="236"/>
      <c r="BR248" s="236"/>
      <c r="BS248" s="236"/>
      <c r="BT248" s="236"/>
      <c r="BU248" s="236"/>
      <c r="BV248" s="236"/>
      <c r="BW248" s="236"/>
      <c r="BX248" s="236"/>
      <c r="BY248" s="236"/>
      <c r="BZ248" s="236"/>
      <c r="CA248" s="236"/>
      <c r="CB248" s="236"/>
      <c r="CC248" s="236"/>
      <c r="CD248" s="236"/>
      <c r="CE248" s="236"/>
      <c r="CF248" s="236"/>
      <c r="CG248" s="236"/>
      <c r="CH248" s="236"/>
      <c r="CI248" s="236"/>
      <c r="CJ248" s="236"/>
      <c r="CK248" s="236"/>
      <c r="CL248" s="236"/>
      <c r="CM248" s="236"/>
      <c r="CN248" s="236"/>
      <c r="CO248" s="236"/>
      <c r="CP248" s="236"/>
      <c r="CQ248" s="236"/>
      <c r="CR248" s="236"/>
      <c r="CS248" s="236"/>
      <c r="CT248" s="236"/>
      <c r="CU248" s="236"/>
      <c r="CV248" s="236"/>
      <c r="CW248" s="236"/>
      <c r="CX248" s="236"/>
      <c r="CY248" s="237"/>
    </row>
    <row r="249" spans="1:103" s="238" customFormat="1" ht="24.95" customHeight="1">
      <c r="A249" s="239" t="s">
        <v>17</v>
      </c>
      <c r="B249" s="368" t="s">
        <v>78</v>
      </c>
      <c r="C249" s="368"/>
      <c r="D249" s="240" t="s">
        <v>14</v>
      </c>
      <c r="E249" s="244">
        <f>0.04*E234*2</f>
        <v>5.44</v>
      </c>
      <c r="F249" s="241"/>
      <c r="G249" s="235">
        <f t="shared" si="13"/>
        <v>0</v>
      </c>
      <c r="H249" s="236"/>
      <c r="I249" s="236"/>
      <c r="J249" s="236"/>
      <c r="K249" s="236"/>
      <c r="L249" s="236"/>
      <c r="M249" s="236"/>
      <c r="N249" s="236"/>
      <c r="O249" s="236"/>
      <c r="P249" s="236"/>
      <c r="Q249" s="236"/>
      <c r="R249" s="236"/>
      <c r="S249" s="236"/>
      <c r="T249" s="236"/>
      <c r="U249" s="236"/>
      <c r="V249" s="236"/>
      <c r="W249" s="236"/>
      <c r="X249" s="236"/>
      <c r="Y249" s="236"/>
      <c r="Z249" s="236"/>
      <c r="AA249" s="236"/>
      <c r="AB249" s="236"/>
      <c r="AC249" s="236"/>
      <c r="AD249" s="236"/>
      <c r="AE249" s="236"/>
      <c r="AF249" s="236"/>
      <c r="AG249" s="236"/>
      <c r="AH249" s="236"/>
      <c r="AI249" s="236"/>
      <c r="AJ249" s="236"/>
      <c r="AK249" s="236"/>
      <c r="AL249" s="236"/>
      <c r="AM249" s="236"/>
      <c r="AN249" s="236"/>
      <c r="AO249" s="236"/>
      <c r="AP249" s="236"/>
      <c r="AQ249" s="236"/>
      <c r="AR249" s="236"/>
      <c r="AS249" s="236"/>
      <c r="AT249" s="236"/>
      <c r="AU249" s="236"/>
      <c r="AV249" s="236"/>
      <c r="AW249" s="236"/>
      <c r="AX249" s="236"/>
      <c r="AY249" s="236"/>
      <c r="AZ249" s="236"/>
      <c r="BA249" s="236"/>
      <c r="BB249" s="236"/>
      <c r="BC249" s="236"/>
      <c r="BD249" s="236"/>
      <c r="BE249" s="236"/>
      <c r="BF249" s="236"/>
      <c r="BG249" s="236"/>
      <c r="BH249" s="236"/>
      <c r="BI249" s="236"/>
      <c r="BJ249" s="236"/>
      <c r="BK249" s="236"/>
      <c r="BL249" s="236"/>
      <c r="BM249" s="236"/>
      <c r="BN249" s="236"/>
      <c r="BO249" s="236"/>
      <c r="BP249" s="236"/>
      <c r="BQ249" s="236"/>
      <c r="BR249" s="236"/>
      <c r="BS249" s="236"/>
      <c r="BT249" s="236"/>
      <c r="BU249" s="236"/>
      <c r="BV249" s="236"/>
      <c r="BW249" s="236"/>
      <c r="BX249" s="236"/>
      <c r="BY249" s="236"/>
      <c r="BZ249" s="236"/>
      <c r="CA249" s="236"/>
      <c r="CB249" s="236"/>
      <c r="CC249" s="236"/>
      <c r="CD249" s="236"/>
      <c r="CE249" s="236"/>
      <c r="CF249" s="236"/>
      <c r="CG249" s="236"/>
      <c r="CH249" s="236"/>
      <c r="CI249" s="236"/>
      <c r="CJ249" s="236"/>
      <c r="CK249" s="236"/>
      <c r="CL249" s="236"/>
      <c r="CM249" s="236"/>
      <c r="CN249" s="236"/>
      <c r="CO249" s="236"/>
      <c r="CP249" s="236"/>
      <c r="CQ249" s="236"/>
      <c r="CR249" s="236"/>
      <c r="CS249" s="236"/>
      <c r="CT249" s="236"/>
      <c r="CU249" s="236"/>
      <c r="CV249" s="236"/>
      <c r="CW249" s="236"/>
      <c r="CX249" s="236"/>
      <c r="CY249" s="237"/>
    </row>
    <row r="250" spans="1:103" s="238" customFormat="1" ht="24.95" customHeight="1">
      <c r="A250" s="232" t="s">
        <v>16</v>
      </c>
      <c r="B250" s="380" t="s">
        <v>129</v>
      </c>
      <c r="C250" s="380"/>
      <c r="D250" s="232" t="s">
        <v>9</v>
      </c>
      <c r="E250" s="243">
        <f>E234*4</f>
        <v>272</v>
      </c>
      <c r="F250" s="242"/>
      <c r="G250" s="235">
        <f t="shared" si="13"/>
        <v>0</v>
      </c>
      <c r="H250" s="236"/>
      <c r="I250" s="236"/>
      <c r="J250" s="236"/>
      <c r="K250" s="236"/>
      <c r="L250" s="236"/>
      <c r="M250" s="236"/>
      <c r="N250" s="236"/>
      <c r="O250" s="236"/>
      <c r="P250" s="236"/>
      <c r="Q250" s="236"/>
      <c r="R250" s="236"/>
      <c r="S250" s="236"/>
      <c r="T250" s="236"/>
      <c r="U250" s="236"/>
      <c r="V250" s="236"/>
      <c r="W250" s="236"/>
      <c r="X250" s="236"/>
      <c r="Y250" s="236"/>
      <c r="Z250" s="236"/>
      <c r="AA250" s="236"/>
      <c r="AB250" s="236"/>
      <c r="AC250" s="236"/>
      <c r="AD250" s="236"/>
      <c r="AE250" s="236"/>
      <c r="AF250" s="236"/>
      <c r="AG250" s="236"/>
      <c r="AH250" s="236"/>
      <c r="AI250" s="236"/>
      <c r="AJ250" s="236"/>
      <c r="AK250" s="236"/>
      <c r="AL250" s="236"/>
      <c r="AM250" s="236"/>
      <c r="AN250" s="236"/>
      <c r="AO250" s="236"/>
      <c r="AP250" s="236"/>
      <c r="AQ250" s="236"/>
      <c r="AR250" s="236"/>
      <c r="AS250" s="236"/>
      <c r="AT250" s="236"/>
      <c r="AU250" s="236"/>
      <c r="AV250" s="236"/>
      <c r="AW250" s="236"/>
      <c r="AX250" s="236"/>
      <c r="AY250" s="236"/>
      <c r="AZ250" s="236"/>
      <c r="BA250" s="236"/>
      <c r="BB250" s="236"/>
      <c r="BC250" s="236"/>
      <c r="BD250" s="236"/>
      <c r="BE250" s="236"/>
      <c r="BF250" s="236"/>
      <c r="BG250" s="236"/>
      <c r="BH250" s="236"/>
      <c r="BI250" s="236"/>
      <c r="BJ250" s="236"/>
      <c r="BK250" s="236"/>
      <c r="BL250" s="236"/>
      <c r="BM250" s="236"/>
      <c r="BN250" s="236"/>
      <c r="BO250" s="236"/>
      <c r="BP250" s="236"/>
      <c r="BQ250" s="236"/>
      <c r="BR250" s="236"/>
      <c r="BS250" s="236"/>
      <c r="BT250" s="236"/>
      <c r="BU250" s="236"/>
      <c r="BV250" s="236"/>
      <c r="BW250" s="236"/>
      <c r="BX250" s="236"/>
      <c r="BY250" s="236"/>
      <c r="BZ250" s="236"/>
      <c r="CA250" s="236"/>
      <c r="CB250" s="236"/>
      <c r="CC250" s="236"/>
      <c r="CD250" s="236"/>
      <c r="CE250" s="236"/>
      <c r="CF250" s="236"/>
      <c r="CG250" s="236"/>
      <c r="CH250" s="236"/>
      <c r="CI250" s="236"/>
      <c r="CJ250" s="236"/>
      <c r="CK250" s="236"/>
      <c r="CL250" s="236"/>
      <c r="CM250" s="236"/>
      <c r="CN250" s="236"/>
      <c r="CO250" s="236"/>
      <c r="CP250" s="236"/>
      <c r="CQ250" s="236"/>
      <c r="CR250" s="236"/>
      <c r="CS250" s="236"/>
      <c r="CT250" s="236"/>
      <c r="CU250" s="236"/>
      <c r="CV250" s="236"/>
      <c r="CW250" s="236"/>
      <c r="CX250" s="236"/>
      <c r="CY250" s="237"/>
    </row>
    <row r="251" spans="1:103" s="40" customFormat="1" ht="24.95" customHeight="1">
      <c r="A251" s="118" t="s">
        <v>16</v>
      </c>
      <c r="B251" s="298" t="s">
        <v>66</v>
      </c>
      <c r="C251" s="298"/>
      <c r="D251" s="118" t="s">
        <v>35</v>
      </c>
      <c r="E251" s="42">
        <v>89.6</v>
      </c>
      <c r="F251" s="162"/>
      <c r="G251" s="72">
        <f t="shared" si="13"/>
        <v>0</v>
      </c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86"/>
    </row>
    <row r="252" spans="1:103" s="40" customFormat="1" ht="24.95" customHeight="1">
      <c r="A252" s="118" t="s">
        <v>17</v>
      </c>
      <c r="B252" s="298" t="s">
        <v>67</v>
      </c>
      <c r="C252" s="298"/>
      <c r="D252" s="118" t="s">
        <v>35</v>
      </c>
      <c r="E252" s="42">
        <f>E251</f>
        <v>89.6</v>
      </c>
      <c r="F252" s="162"/>
      <c r="G252" s="72">
        <f t="shared" si="13"/>
        <v>0</v>
      </c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86"/>
    </row>
    <row r="253" spans="1:187" s="48" customFormat="1" ht="21.75" customHeight="1">
      <c r="A253" s="65"/>
      <c r="B253" s="357" t="s">
        <v>80</v>
      </c>
      <c r="C253" s="357"/>
      <c r="D253" s="112"/>
      <c r="E253" s="112"/>
      <c r="F253" s="112"/>
      <c r="G253" s="74">
        <f>SUM(G233:G252)</f>
        <v>0</v>
      </c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</row>
    <row r="254" spans="1:102" s="25" customFormat="1" ht="24.95" customHeight="1">
      <c r="A254" s="290"/>
      <c r="B254" s="291" t="s">
        <v>6</v>
      </c>
      <c r="C254" s="291"/>
      <c r="D254" s="292" t="s">
        <v>47</v>
      </c>
      <c r="E254" s="293" t="s">
        <v>31</v>
      </c>
      <c r="F254" s="295" t="s">
        <v>4</v>
      </c>
      <c r="G254" s="296" t="s">
        <v>32</v>
      </c>
      <c r="H254" s="92"/>
      <c r="I254" s="92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93"/>
      <c r="AU254" s="93"/>
      <c r="AV254" s="93"/>
      <c r="AW254" s="93"/>
      <c r="AX254" s="93"/>
      <c r="AY254" s="93"/>
      <c r="AZ254" s="93"/>
      <c r="BA254" s="93"/>
      <c r="BB254" s="93"/>
      <c r="BC254" s="93"/>
      <c r="BD254" s="93"/>
      <c r="BE254" s="93"/>
      <c r="BF254" s="93"/>
      <c r="BG254" s="93"/>
      <c r="BH254" s="93"/>
      <c r="BI254" s="93"/>
      <c r="BJ254" s="93"/>
      <c r="BK254" s="93"/>
      <c r="BL254" s="93"/>
      <c r="BM254" s="93"/>
      <c r="BN254" s="93"/>
      <c r="BO254" s="93"/>
      <c r="BP254" s="93"/>
      <c r="BQ254" s="93"/>
      <c r="BR254" s="93"/>
      <c r="BS254" s="93"/>
      <c r="BT254" s="93"/>
      <c r="BU254" s="93"/>
      <c r="BV254" s="93"/>
      <c r="BW254" s="93"/>
      <c r="BX254" s="93"/>
      <c r="BY254" s="93"/>
      <c r="BZ254" s="93"/>
      <c r="CA254" s="93"/>
      <c r="CB254" s="93"/>
      <c r="CC254" s="93"/>
      <c r="CD254" s="93"/>
      <c r="CE254" s="93"/>
      <c r="CF254" s="93"/>
      <c r="CG254" s="93"/>
      <c r="CH254" s="93"/>
      <c r="CI254" s="93"/>
      <c r="CJ254" s="93"/>
      <c r="CK254" s="93"/>
      <c r="CL254" s="93"/>
      <c r="CM254" s="93"/>
      <c r="CN254" s="93"/>
      <c r="CO254" s="93"/>
      <c r="CP254" s="93"/>
      <c r="CQ254" s="93"/>
      <c r="CR254" s="93"/>
      <c r="CS254" s="93"/>
      <c r="CT254" s="93"/>
      <c r="CU254" s="93"/>
      <c r="CV254" s="93"/>
      <c r="CW254" s="93"/>
      <c r="CX254" s="93"/>
    </row>
    <row r="255" spans="1:102" s="7" customFormat="1" ht="24.95" customHeight="1">
      <c r="A255" s="290"/>
      <c r="B255" s="291"/>
      <c r="C255" s="291"/>
      <c r="D255" s="292"/>
      <c r="E255" s="294"/>
      <c r="F255" s="295"/>
      <c r="G255" s="296"/>
      <c r="H255" s="5"/>
      <c r="I255" s="5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94"/>
      <c r="AU255" s="94"/>
      <c r="AV255" s="94"/>
      <c r="AW255" s="94"/>
      <c r="AX255" s="94"/>
      <c r="AY255" s="94"/>
      <c r="AZ255" s="94"/>
      <c r="BA255" s="94"/>
      <c r="BB255" s="94"/>
      <c r="BC255" s="94"/>
      <c r="BD255" s="94"/>
      <c r="BE255" s="94"/>
      <c r="BF255" s="94"/>
      <c r="BG255" s="94"/>
      <c r="BH255" s="94"/>
      <c r="BI255" s="94"/>
      <c r="BJ255" s="94"/>
      <c r="BK255" s="94"/>
      <c r="BL255" s="94"/>
      <c r="BM255" s="94"/>
      <c r="BN255" s="94"/>
      <c r="BO255" s="94"/>
      <c r="BP255" s="94"/>
      <c r="BQ255" s="94"/>
      <c r="BR255" s="94"/>
      <c r="BS255" s="94"/>
      <c r="BT255" s="94"/>
      <c r="BU255" s="94"/>
      <c r="BV255" s="94"/>
      <c r="BW255" s="94"/>
      <c r="BX255" s="94"/>
      <c r="BY255" s="94"/>
      <c r="BZ255" s="94"/>
      <c r="CA255" s="94"/>
      <c r="CB255" s="94"/>
      <c r="CC255" s="94"/>
      <c r="CD255" s="94"/>
      <c r="CE255" s="94"/>
      <c r="CF255" s="94"/>
      <c r="CG255" s="94"/>
      <c r="CH255" s="94"/>
      <c r="CI255" s="94"/>
      <c r="CJ255" s="94"/>
      <c r="CK255" s="94"/>
      <c r="CL255" s="94"/>
      <c r="CM255" s="94"/>
      <c r="CN255" s="94"/>
      <c r="CO255" s="94"/>
      <c r="CP255" s="94"/>
      <c r="CQ255" s="94"/>
      <c r="CR255" s="94"/>
      <c r="CS255" s="94"/>
      <c r="CT255" s="94"/>
      <c r="CU255" s="94"/>
      <c r="CV255" s="94"/>
      <c r="CW255" s="94"/>
      <c r="CX255" s="94"/>
    </row>
    <row r="256" spans="1:7" s="43" customFormat="1" ht="24.95" customHeight="1">
      <c r="A256" s="67"/>
      <c r="B256" s="375" t="s">
        <v>134</v>
      </c>
      <c r="C256" s="364"/>
      <c r="D256" s="364"/>
      <c r="E256" s="364"/>
      <c r="F256" s="364"/>
      <c r="G256" s="365"/>
    </row>
    <row r="257" spans="1:7" s="43" customFormat="1" ht="24.95" customHeight="1">
      <c r="A257" s="124" t="s">
        <v>16</v>
      </c>
      <c r="B257" s="297" t="s">
        <v>135</v>
      </c>
      <c r="C257" s="298"/>
      <c r="D257" s="118" t="s">
        <v>9</v>
      </c>
      <c r="E257" s="42">
        <v>246.7</v>
      </c>
      <c r="F257" s="173"/>
      <c r="G257" s="72">
        <f aca="true" t="shared" si="14" ref="G257:G266">E257*F257</f>
        <v>0</v>
      </c>
    </row>
    <row r="258" spans="1:7" s="43" customFormat="1" ht="24.95" customHeight="1">
      <c r="A258" s="124" t="s">
        <v>16</v>
      </c>
      <c r="B258" s="297" t="s">
        <v>300</v>
      </c>
      <c r="C258" s="298"/>
      <c r="D258" s="79" t="s">
        <v>10</v>
      </c>
      <c r="E258" s="176">
        <f>E257*0.15</f>
        <v>37.004999999999995</v>
      </c>
      <c r="F258" s="173"/>
      <c r="G258" s="72">
        <f t="shared" si="14"/>
        <v>0</v>
      </c>
    </row>
    <row r="259" spans="1:7" s="43" customFormat="1" ht="24.95" customHeight="1">
      <c r="A259" s="124" t="s">
        <v>16</v>
      </c>
      <c r="B259" s="297" t="s">
        <v>81</v>
      </c>
      <c r="C259" s="298"/>
      <c r="D259" s="79" t="s">
        <v>14</v>
      </c>
      <c r="E259" s="176">
        <f>E258*1.8</f>
        <v>66.609</v>
      </c>
      <c r="F259" s="173"/>
      <c r="G259" s="72">
        <f t="shared" si="14"/>
        <v>0</v>
      </c>
    </row>
    <row r="260" spans="1:7" s="43" customFormat="1" ht="24.95" customHeight="1">
      <c r="A260" s="124" t="s">
        <v>16</v>
      </c>
      <c r="B260" s="299" t="s">
        <v>82</v>
      </c>
      <c r="C260" s="299"/>
      <c r="D260" s="14" t="s">
        <v>9</v>
      </c>
      <c r="E260" s="42">
        <f>E257</f>
        <v>246.7</v>
      </c>
      <c r="F260" s="173"/>
      <c r="G260" s="72">
        <f t="shared" si="14"/>
        <v>0</v>
      </c>
    </row>
    <row r="261" spans="1:7" s="43" customFormat="1" ht="24.95" customHeight="1">
      <c r="A261" s="14" t="s">
        <v>17</v>
      </c>
      <c r="B261" s="299" t="s">
        <v>83</v>
      </c>
      <c r="C261" s="299"/>
      <c r="D261" s="14" t="s">
        <v>9</v>
      </c>
      <c r="E261" s="54">
        <f>E257*1.05</f>
        <v>259.035</v>
      </c>
      <c r="F261" s="173"/>
      <c r="G261" s="72">
        <f t="shared" si="14"/>
        <v>0</v>
      </c>
    </row>
    <row r="262" spans="1:7" s="43" customFormat="1" ht="24.95" customHeight="1">
      <c r="A262" s="179" t="s">
        <v>16</v>
      </c>
      <c r="B262" s="361" t="s">
        <v>137</v>
      </c>
      <c r="C262" s="362"/>
      <c r="D262" s="180" t="s">
        <v>9</v>
      </c>
      <c r="E262" s="54">
        <f>E257</f>
        <v>246.7</v>
      </c>
      <c r="F262" s="173"/>
      <c r="G262" s="72">
        <f t="shared" si="14"/>
        <v>0</v>
      </c>
    </row>
    <row r="263" spans="1:7" s="43" customFormat="1" ht="24.95" customHeight="1">
      <c r="A263" s="118" t="s">
        <v>17</v>
      </c>
      <c r="B263" s="297" t="s">
        <v>301</v>
      </c>
      <c r="C263" s="297"/>
      <c r="D263" s="79" t="s">
        <v>14</v>
      </c>
      <c r="E263" s="42">
        <v>32.84</v>
      </c>
      <c r="F263" s="173"/>
      <c r="G263" s="72">
        <f t="shared" si="14"/>
        <v>0</v>
      </c>
    </row>
    <row r="264" spans="1:7" s="43" customFormat="1" ht="24.95" customHeight="1">
      <c r="A264" s="118" t="s">
        <v>17</v>
      </c>
      <c r="B264" s="276" t="s">
        <v>141</v>
      </c>
      <c r="C264" s="277"/>
      <c r="D264" s="79" t="s">
        <v>14</v>
      </c>
      <c r="E264" s="42">
        <f>E257*0.1*2</f>
        <v>49.34</v>
      </c>
      <c r="F264" s="173"/>
      <c r="G264" s="72">
        <f t="shared" si="14"/>
        <v>0</v>
      </c>
    </row>
    <row r="265" spans="1:7" s="43" customFormat="1" ht="24.95" customHeight="1">
      <c r="A265" s="179" t="s">
        <v>16</v>
      </c>
      <c r="B265" s="276" t="s">
        <v>142</v>
      </c>
      <c r="C265" s="277"/>
      <c r="D265" s="79" t="s">
        <v>59</v>
      </c>
      <c r="E265" s="42">
        <v>1</v>
      </c>
      <c r="F265" s="173"/>
      <c r="G265" s="72">
        <f t="shared" si="14"/>
        <v>0</v>
      </c>
    </row>
    <row r="266" spans="1:7" s="43" customFormat="1" ht="24.95" customHeight="1">
      <c r="A266" s="179" t="s">
        <v>16</v>
      </c>
      <c r="B266" s="361" t="s">
        <v>143</v>
      </c>
      <c r="C266" s="362"/>
      <c r="D266" s="118" t="s">
        <v>9</v>
      </c>
      <c r="E266" s="42">
        <f>E257</f>
        <v>246.7</v>
      </c>
      <c r="F266" s="173"/>
      <c r="G266" s="72">
        <f t="shared" si="14"/>
        <v>0</v>
      </c>
    </row>
    <row r="267" spans="1:7" s="43" customFormat="1" ht="24.95" customHeight="1">
      <c r="A267" s="67"/>
      <c r="B267" s="357" t="s">
        <v>136</v>
      </c>
      <c r="C267" s="357"/>
      <c r="D267" s="125"/>
      <c r="E267" s="125"/>
      <c r="F267" s="125"/>
      <c r="G267" s="113">
        <f>SUM(G257:G266)</f>
        <v>0</v>
      </c>
    </row>
    <row r="268" spans="1:102" s="36" customFormat="1" ht="35.1" customHeight="1">
      <c r="A268" s="111"/>
      <c r="B268" s="356" t="s">
        <v>60</v>
      </c>
      <c r="C268" s="356"/>
      <c r="D268" s="356"/>
      <c r="E268" s="356"/>
      <c r="F268" s="356"/>
      <c r="G268" s="114">
        <f>SUM(G267,G253)</f>
        <v>0</v>
      </c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  <c r="CH268" s="105"/>
      <c r="CI268" s="105"/>
      <c r="CJ268" s="105"/>
      <c r="CK268" s="105"/>
      <c r="CL268" s="105"/>
      <c r="CM268" s="105"/>
      <c r="CN268" s="105"/>
      <c r="CO268" s="105"/>
      <c r="CP268" s="105"/>
      <c r="CQ268" s="105"/>
      <c r="CR268" s="105"/>
      <c r="CS268" s="105"/>
      <c r="CT268" s="105"/>
      <c r="CU268" s="105"/>
      <c r="CV268" s="105"/>
      <c r="CW268" s="105"/>
      <c r="CX268" s="105"/>
    </row>
    <row r="269" spans="1:7" ht="36.75" customHeight="1">
      <c r="A269" s="167"/>
      <c r="B269" s="353" t="s">
        <v>108</v>
      </c>
      <c r="C269" s="353"/>
      <c r="D269" s="353"/>
      <c r="E269" s="353"/>
      <c r="F269" s="353"/>
      <c r="G269" s="353"/>
    </row>
    <row r="270" spans="1:102" s="25" customFormat="1" ht="24.95" customHeight="1">
      <c r="A270" s="290"/>
      <c r="B270" s="291" t="s">
        <v>6</v>
      </c>
      <c r="C270" s="291"/>
      <c r="D270" s="292" t="s">
        <v>47</v>
      </c>
      <c r="E270" s="293" t="s">
        <v>31</v>
      </c>
      <c r="F270" s="295" t="s">
        <v>4</v>
      </c>
      <c r="G270" s="296" t="s">
        <v>32</v>
      </c>
      <c r="H270" s="92"/>
      <c r="I270" s="92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AI270" s="93"/>
      <c r="AJ270" s="93"/>
      <c r="AK270" s="93"/>
      <c r="AL270" s="93"/>
      <c r="AM270" s="93"/>
      <c r="AN270" s="93"/>
      <c r="AO270" s="93"/>
      <c r="AP270" s="93"/>
      <c r="AQ270" s="93"/>
      <c r="AR270" s="93"/>
      <c r="AS270" s="93"/>
      <c r="AT270" s="93"/>
      <c r="AU270" s="93"/>
      <c r="AV270" s="93"/>
      <c r="AW270" s="93"/>
      <c r="AX270" s="93"/>
      <c r="AY270" s="93"/>
      <c r="AZ270" s="93"/>
      <c r="BA270" s="93"/>
      <c r="BB270" s="93"/>
      <c r="BC270" s="93"/>
      <c r="BD270" s="93"/>
      <c r="BE270" s="93"/>
      <c r="BF270" s="93"/>
      <c r="BG270" s="93"/>
      <c r="BH270" s="93"/>
      <c r="BI270" s="93"/>
      <c r="BJ270" s="93"/>
      <c r="BK270" s="93"/>
      <c r="BL270" s="93"/>
      <c r="BM270" s="93"/>
      <c r="BN270" s="93"/>
      <c r="BO270" s="93"/>
      <c r="BP270" s="93"/>
      <c r="BQ270" s="93"/>
      <c r="BR270" s="93"/>
      <c r="BS270" s="93"/>
      <c r="BT270" s="93"/>
      <c r="BU270" s="93"/>
      <c r="BV270" s="93"/>
      <c r="BW270" s="93"/>
      <c r="BX270" s="93"/>
      <c r="BY270" s="93"/>
      <c r="BZ270" s="93"/>
      <c r="CA270" s="93"/>
      <c r="CB270" s="93"/>
      <c r="CC270" s="93"/>
      <c r="CD270" s="93"/>
      <c r="CE270" s="93"/>
      <c r="CF270" s="93"/>
      <c r="CG270" s="93"/>
      <c r="CH270" s="93"/>
      <c r="CI270" s="93"/>
      <c r="CJ270" s="93"/>
      <c r="CK270" s="93"/>
      <c r="CL270" s="93"/>
      <c r="CM270" s="93"/>
      <c r="CN270" s="93"/>
      <c r="CO270" s="93"/>
      <c r="CP270" s="93"/>
      <c r="CQ270" s="93"/>
      <c r="CR270" s="93"/>
      <c r="CS270" s="93"/>
      <c r="CT270" s="93"/>
      <c r="CU270" s="93"/>
      <c r="CV270" s="93"/>
      <c r="CW270" s="93"/>
      <c r="CX270" s="93"/>
    </row>
    <row r="271" spans="1:102" s="7" customFormat="1" ht="24.95" customHeight="1">
      <c r="A271" s="290"/>
      <c r="B271" s="291"/>
      <c r="C271" s="291"/>
      <c r="D271" s="292"/>
      <c r="E271" s="294"/>
      <c r="F271" s="295"/>
      <c r="G271" s="296"/>
      <c r="H271" s="5"/>
      <c r="I271" s="5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  <c r="AQ271" s="94"/>
      <c r="AR271" s="94"/>
      <c r="AS271" s="94"/>
      <c r="AT271" s="94"/>
      <c r="AU271" s="94"/>
      <c r="AV271" s="94"/>
      <c r="AW271" s="94"/>
      <c r="AX271" s="94"/>
      <c r="AY271" s="94"/>
      <c r="AZ271" s="94"/>
      <c r="BA271" s="94"/>
      <c r="BB271" s="94"/>
      <c r="BC271" s="94"/>
      <c r="BD271" s="94"/>
      <c r="BE271" s="94"/>
      <c r="BF271" s="94"/>
      <c r="BG271" s="94"/>
      <c r="BH271" s="94"/>
      <c r="BI271" s="94"/>
      <c r="BJ271" s="94"/>
      <c r="BK271" s="94"/>
      <c r="BL271" s="94"/>
      <c r="BM271" s="94"/>
      <c r="BN271" s="94"/>
      <c r="BO271" s="94"/>
      <c r="BP271" s="94"/>
      <c r="BQ271" s="94"/>
      <c r="BR271" s="94"/>
      <c r="BS271" s="94"/>
      <c r="BT271" s="94"/>
      <c r="BU271" s="94"/>
      <c r="BV271" s="94"/>
      <c r="BW271" s="94"/>
      <c r="BX271" s="94"/>
      <c r="BY271" s="94"/>
      <c r="BZ271" s="94"/>
      <c r="CA271" s="94"/>
      <c r="CB271" s="94"/>
      <c r="CC271" s="94"/>
      <c r="CD271" s="94"/>
      <c r="CE271" s="94"/>
      <c r="CF271" s="94"/>
      <c r="CG271" s="94"/>
      <c r="CH271" s="94"/>
      <c r="CI271" s="94"/>
      <c r="CJ271" s="94"/>
      <c r="CK271" s="94"/>
      <c r="CL271" s="94"/>
      <c r="CM271" s="94"/>
      <c r="CN271" s="94"/>
      <c r="CO271" s="94"/>
      <c r="CP271" s="94"/>
      <c r="CQ271" s="94"/>
      <c r="CR271" s="94"/>
      <c r="CS271" s="94"/>
      <c r="CT271" s="94"/>
      <c r="CU271" s="94"/>
      <c r="CV271" s="94"/>
      <c r="CW271" s="94"/>
      <c r="CX271" s="94"/>
    </row>
    <row r="272" spans="1:7" ht="24.95" customHeight="1">
      <c r="A272" s="160" t="s">
        <v>17</v>
      </c>
      <c r="B272" s="354" t="s">
        <v>302</v>
      </c>
      <c r="C272" s="355"/>
      <c r="D272" s="117" t="s">
        <v>8</v>
      </c>
      <c r="E272" s="245">
        <v>6</v>
      </c>
      <c r="F272" s="163"/>
      <c r="G272" s="246">
        <f>E272*F272</f>
        <v>0</v>
      </c>
    </row>
    <row r="273" spans="1:7" ht="24.95" customHeight="1">
      <c r="A273" s="160" t="s">
        <v>107</v>
      </c>
      <c r="B273" s="355" t="s">
        <v>104</v>
      </c>
      <c r="C273" s="355"/>
      <c r="D273" s="117" t="s">
        <v>8</v>
      </c>
      <c r="E273" s="245">
        <f>E272*2</f>
        <v>12</v>
      </c>
      <c r="F273" s="163"/>
      <c r="G273" s="246">
        <f aca="true" t="shared" si="15" ref="G273">E273*F273</f>
        <v>0</v>
      </c>
    </row>
    <row r="274" spans="1:7" ht="24.95" customHeight="1">
      <c r="A274" s="41" t="s">
        <v>17</v>
      </c>
      <c r="B274" s="297" t="s">
        <v>303</v>
      </c>
      <c r="C274" s="297"/>
      <c r="D274" s="79" t="s">
        <v>8</v>
      </c>
      <c r="E274" s="79">
        <v>1</v>
      </c>
      <c r="F274" s="164"/>
      <c r="G274" s="247">
        <f>E274*F274</f>
        <v>0</v>
      </c>
    </row>
    <row r="275" spans="1:7" ht="24.95" customHeight="1">
      <c r="A275" s="41" t="s">
        <v>107</v>
      </c>
      <c r="B275" s="297" t="s">
        <v>105</v>
      </c>
      <c r="C275" s="297"/>
      <c r="D275" s="79" t="s">
        <v>8</v>
      </c>
      <c r="E275" s="79">
        <v>1</v>
      </c>
      <c r="F275" s="164"/>
      <c r="G275" s="247">
        <f aca="true" t="shared" si="16" ref="G275:G277">E275*F275</f>
        <v>0</v>
      </c>
    </row>
    <row r="276" spans="1:7" ht="24.95" customHeight="1">
      <c r="A276" s="161" t="s">
        <v>17</v>
      </c>
      <c r="B276" s="354" t="s">
        <v>304</v>
      </c>
      <c r="C276" s="354"/>
      <c r="D276" s="121" t="s">
        <v>8</v>
      </c>
      <c r="E276" s="245">
        <v>5</v>
      </c>
      <c r="F276" s="165"/>
      <c r="G276" s="246">
        <f t="shared" si="16"/>
        <v>0</v>
      </c>
    </row>
    <row r="277" spans="1:7" ht="24.95" customHeight="1">
      <c r="A277" s="160" t="s">
        <v>107</v>
      </c>
      <c r="B277" s="354" t="s">
        <v>106</v>
      </c>
      <c r="C277" s="355"/>
      <c r="D277" s="117" t="s">
        <v>8</v>
      </c>
      <c r="E277" s="245">
        <v>10</v>
      </c>
      <c r="F277" s="166"/>
      <c r="G277" s="246">
        <f t="shared" si="16"/>
        <v>0</v>
      </c>
    </row>
    <row r="278" spans="1:102" s="81" customFormat="1" ht="24.95" customHeight="1">
      <c r="A278" s="41" t="s">
        <v>16</v>
      </c>
      <c r="B278" s="276" t="s">
        <v>305</v>
      </c>
      <c r="C278" s="277"/>
      <c r="D278" s="79" t="s">
        <v>8</v>
      </c>
      <c r="E278" s="79">
        <f>SUM(E276,E274,E272)</f>
        <v>12</v>
      </c>
      <c r="F278" s="248"/>
      <c r="G278" s="123">
        <f aca="true" t="shared" si="17" ref="G278:G279">E278*F278</f>
        <v>0</v>
      </c>
      <c r="H278" s="99"/>
      <c r="I278" s="99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0"/>
      <c r="BD278" s="100"/>
      <c r="BE278" s="100"/>
      <c r="BF278" s="100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100"/>
      <c r="BS278" s="100"/>
      <c r="BT278" s="100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</row>
    <row r="279" spans="1:102" s="81" customFormat="1" ht="24.95" customHeight="1">
      <c r="A279" s="41" t="s">
        <v>16</v>
      </c>
      <c r="B279" s="252" t="s">
        <v>306</v>
      </c>
      <c r="C279" s="253"/>
      <c r="D279" s="79" t="s">
        <v>59</v>
      </c>
      <c r="E279" s="79">
        <v>1</v>
      </c>
      <c r="F279" s="248"/>
      <c r="G279" s="123">
        <f t="shared" si="17"/>
        <v>0</v>
      </c>
      <c r="H279" s="99"/>
      <c r="I279" s="99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  <c r="BA279" s="100"/>
      <c r="BB279" s="100"/>
      <c r="BC279" s="100"/>
      <c r="BD279" s="100"/>
      <c r="BE279" s="100"/>
      <c r="BF279" s="100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100"/>
      <c r="BS279" s="100"/>
      <c r="BT279" s="100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</row>
    <row r="280" spans="1:7" ht="33" customHeight="1">
      <c r="A280" s="167"/>
      <c r="B280" s="352" t="s">
        <v>109</v>
      </c>
      <c r="C280" s="352"/>
      <c r="D280" s="168"/>
      <c r="E280" s="168"/>
      <c r="F280" s="169"/>
      <c r="G280" s="249">
        <f>SUM(G272:G279)</f>
        <v>0</v>
      </c>
    </row>
  </sheetData>
  <sheetProtection selectLockedCells="1" selectUnlockedCells="1"/>
  <mergeCells count="229">
    <mergeCell ref="A137:A138"/>
    <mergeCell ref="B137:C138"/>
    <mergeCell ref="D137:D138"/>
    <mergeCell ref="E137:E138"/>
    <mergeCell ref="F137:F138"/>
    <mergeCell ref="G137:G138"/>
    <mergeCell ref="A182:A183"/>
    <mergeCell ref="B182:C183"/>
    <mergeCell ref="D182:D183"/>
    <mergeCell ref="E182:E183"/>
    <mergeCell ref="F182:F183"/>
    <mergeCell ref="G182:G183"/>
    <mergeCell ref="B185:C185"/>
    <mergeCell ref="B186:C186"/>
    <mergeCell ref="B190:C190"/>
    <mergeCell ref="B191:C191"/>
    <mergeCell ref="B194:C194"/>
    <mergeCell ref="B195:C195"/>
    <mergeCell ref="A125:A126"/>
    <mergeCell ref="B125:C126"/>
    <mergeCell ref="D125:D126"/>
    <mergeCell ref="E125:E126"/>
    <mergeCell ref="F125:F126"/>
    <mergeCell ref="G125:G126"/>
    <mergeCell ref="B134:C134"/>
    <mergeCell ref="B135:C135"/>
    <mergeCell ref="B253:C253"/>
    <mergeCell ref="B249:C249"/>
    <mergeCell ref="B250:C250"/>
    <mergeCell ref="B251:C251"/>
    <mergeCell ref="B189:C189"/>
    <mergeCell ref="B128:C128"/>
    <mergeCell ref="B143:C143"/>
    <mergeCell ref="B130:C130"/>
    <mergeCell ref="B140:C140"/>
    <mergeCell ref="B141:C141"/>
    <mergeCell ref="B136:C136"/>
    <mergeCell ref="B131:C131"/>
    <mergeCell ref="B139:G139"/>
    <mergeCell ref="B142:C142"/>
    <mergeCell ref="B147:C147"/>
    <mergeCell ref="B173:C173"/>
    <mergeCell ref="B264:C264"/>
    <mergeCell ref="B262:C262"/>
    <mergeCell ref="B263:C263"/>
    <mergeCell ref="B256:G256"/>
    <mergeCell ref="A158:A159"/>
    <mergeCell ref="B158:C159"/>
    <mergeCell ref="D158:D159"/>
    <mergeCell ref="E158:E159"/>
    <mergeCell ref="F158:F159"/>
    <mergeCell ref="G158:G159"/>
    <mergeCell ref="B169:G169"/>
    <mergeCell ref="B170:C170"/>
    <mergeCell ref="A205:A206"/>
    <mergeCell ref="B205:C206"/>
    <mergeCell ref="D205:D206"/>
    <mergeCell ref="E205:E206"/>
    <mergeCell ref="F205:F206"/>
    <mergeCell ref="G205:G206"/>
    <mergeCell ref="B243:C243"/>
    <mergeCell ref="B244:C244"/>
    <mergeCell ref="B245:C245"/>
    <mergeCell ref="B246:C246"/>
    <mergeCell ref="B247:C247"/>
    <mergeCell ref="B248:C248"/>
    <mergeCell ref="B277:C277"/>
    <mergeCell ref="B266:C266"/>
    <mergeCell ref="B265:C265"/>
    <mergeCell ref="B268:F268"/>
    <mergeCell ref="B261:C261"/>
    <mergeCell ref="B29:E29"/>
    <mergeCell ref="B252:C252"/>
    <mergeCell ref="B233:G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46:E46"/>
    <mergeCell ref="B50:E50"/>
    <mergeCell ref="B52:E52"/>
    <mergeCell ref="B54:E54"/>
    <mergeCell ref="B48:E48"/>
    <mergeCell ref="B209:C209"/>
    <mergeCell ref="B133:C133"/>
    <mergeCell ref="B62:G62"/>
    <mergeCell ref="B127:G127"/>
    <mergeCell ref="B129:C129"/>
    <mergeCell ref="B122:C122"/>
    <mergeCell ref="B180:C180"/>
    <mergeCell ref="B38:E38"/>
    <mergeCell ref="B40:E40"/>
    <mergeCell ref="B204:G204"/>
    <mergeCell ref="B42:E42"/>
    <mergeCell ref="B44:E44"/>
    <mergeCell ref="B280:C280"/>
    <mergeCell ref="B269:G269"/>
    <mergeCell ref="B272:C272"/>
    <mergeCell ref="B273:C273"/>
    <mergeCell ref="B274:C274"/>
    <mergeCell ref="B275:C275"/>
    <mergeCell ref="B276:C276"/>
    <mergeCell ref="B230:G230"/>
    <mergeCell ref="B227:C227"/>
    <mergeCell ref="B267:C267"/>
    <mergeCell ref="B257:C257"/>
    <mergeCell ref="B171:C171"/>
    <mergeCell ref="B157:C157"/>
    <mergeCell ref="B124:G124"/>
    <mergeCell ref="B168:C168"/>
    <mergeCell ref="B160:G160"/>
    <mergeCell ref="B161:C161"/>
    <mergeCell ref="B146:C146"/>
    <mergeCell ref="B145:C145"/>
    <mergeCell ref="B152:C152"/>
    <mergeCell ref="B153:C153"/>
    <mergeCell ref="B154:C154"/>
    <mergeCell ref="B164:C164"/>
    <mergeCell ref="B148:C148"/>
    <mergeCell ref="B155:C155"/>
    <mergeCell ref="B162:C162"/>
    <mergeCell ref="B144:C144"/>
    <mergeCell ref="B149:C149"/>
    <mergeCell ref="B59:G59"/>
    <mergeCell ref="G60:G61"/>
    <mergeCell ref="B67:C67"/>
    <mergeCell ref="B88:G88"/>
    <mergeCell ref="B112:C112"/>
    <mergeCell ref="B115:G115"/>
    <mergeCell ref="B121:C121"/>
    <mergeCell ref="A60:A61"/>
    <mergeCell ref="B60:B61"/>
    <mergeCell ref="C60:C61"/>
    <mergeCell ref="A113:A114"/>
    <mergeCell ref="B113:B114"/>
    <mergeCell ref="C113:C114"/>
    <mergeCell ref="D113:D114"/>
    <mergeCell ref="F113:F114"/>
    <mergeCell ref="G113:G114"/>
    <mergeCell ref="B123:F123"/>
    <mergeCell ref="F60:F61"/>
    <mergeCell ref="D60:D61"/>
    <mergeCell ref="B68:G68"/>
    <mergeCell ref="B72:C72"/>
    <mergeCell ref="B73:G73"/>
    <mergeCell ref="B85:C85"/>
    <mergeCell ref="G86:G87"/>
    <mergeCell ref="D86:D87"/>
    <mergeCell ref="F86:F87"/>
    <mergeCell ref="B187:C187"/>
    <mergeCell ref="B188:C188"/>
    <mergeCell ref="B150:C150"/>
    <mergeCell ref="B192:C192"/>
    <mergeCell ref="B132:C132"/>
    <mergeCell ref="B156:C156"/>
    <mergeCell ref="B167:C167"/>
    <mergeCell ref="B163:C163"/>
    <mergeCell ref="B165:C165"/>
    <mergeCell ref="B166:C166"/>
    <mergeCell ref="B178:C178"/>
    <mergeCell ref="B179:C179"/>
    <mergeCell ref="B184:G184"/>
    <mergeCell ref="B172:C172"/>
    <mergeCell ref="B181:C181"/>
    <mergeCell ref="B174:C174"/>
    <mergeCell ref="B175:C175"/>
    <mergeCell ref="B176:C176"/>
    <mergeCell ref="B177:C177"/>
    <mergeCell ref="B151:C151"/>
    <mergeCell ref="B258:C258"/>
    <mergeCell ref="B259:C259"/>
    <mergeCell ref="B260:C260"/>
    <mergeCell ref="B228:C228"/>
    <mergeCell ref="B203:F203"/>
    <mergeCell ref="B229:F229"/>
    <mergeCell ref="B217:C217"/>
    <mergeCell ref="B193:C193"/>
    <mergeCell ref="B225:C225"/>
    <mergeCell ref="B211:C211"/>
    <mergeCell ref="B224:C224"/>
    <mergeCell ref="B218:C218"/>
    <mergeCell ref="B219:C219"/>
    <mergeCell ref="B220:C220"/>
    <mergeCell ref="B216:C216"/>
    <mergeCell ref="B226:C226"/>
    <mergeCell ref="B215:C215"/>
    <mergeCell ref="B222:C222"/>
    <mergeCell ref="B221:C221"/>
    <mergeCell ref="B212:C212"/>
    <mergeCell ref="B202:C202"/>
    <mergeCell ref="D231:D232"/>
    <mergeCell ref="E231:E232"/>
    <mergeCell ref="F231:F232"/>
    <mergeCell ref="G231:G232"/>
    <mergeCell ref="A254:A255"/>
    <mergeCell ref="B254:C255"/>
    <mergeCell ref="D254:D255"/>
    <mergeCell ref="E254:E255"/>
    <mergeCell ref="F254:F255"/>
    <mergeCell ref="G254:G255"/>
    <mergeCell ref="B278:C278"/>
    <mergeCell ref="A86:A87"/>
    <mergeCell ref="B86:B87"/>
    <mergeCell ref="C86:C87"/>
    <mergeCell ref="B196:F196"/>
    <mergeCell ref="B197:C197"/>
    <mergeCell ref="B208:C208"/>
    <mergeCell ref="B207:G207"/>
    <mergeCell ref="B214:G214"/>
    <mergeCell ref="B223:G223"/>
    <mergeCell ref="B213:C213"/>
    <mergeCell ref="B210:C210"/>
    <mergeCell ref="B198:C198"/>
    <mergeCell ref="B199:C199"/>
    <mergeCell ref="B200:C200"/>
    <mergeCell ref="B201:C201"/>
    <mergeCell ref="A270:A271"/>
    <mergeCell ref="B270:C271"/>
    <mergeCell ref="D270:D271"/>
    <mergeCell ref="E270:E271"/>
    <mergeCell ref="F270:F271"/>
    <mergeCell ref="G270:G271"/>
    <mergeCell ref="A231:A232"/>
    <mergeCell ref="B231:C232"/>
  </mergeCells>
  <printOptions/>
  <pageMargins left="0.3937007874015748" right="0.31496062992125984" top="0.3937007874015748" bottom="0.3937007874015748" header="0.5118110236220472" footer="0.5118110236220472"/>
  <pageSetup fitToHeight="0" fitToWidth="1" horizontalDpi="300" verticalDpi="300" orientation="landscape" paperSize="9" scale="74" r:id="rId1"/>
  <rowBreaks count="12" manualBreakCount="12">
    <brk id="32" max="16383" man="1"/>
    <brk id="58" max="16383" man="1"/>
    <brk id="85" max="16383" man="1"/>
    <brk id="112" max="16383" man="1"/>
    <brk id="123" max="16383" man="1"/>
    <brk id="136" max="16383" man="1"/>
    <brk id="157" max="16383" man="1"/>
    <brk id="181" max="16383" man="1"/>
    <brk id="203" max="16383" man="1"/>
    <brk id="229" max="16383" man="1"/>
    <brk id="253" max="16383" man="1"/>
    <brk id="2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smradoch</dc:creator>
  <cp:keywords/>
  <dc:description/>
  <cp:lastModifiedBy>paja</cp:lastModifiedBy>
  <cp:lastPrinted>2021-03-09T07:47:07Z</cp:lastPrinted>
  <dcterms:created xsi:type="dcterms:W3CDTF">2014-02-15T18:10:23Z</dcterms:created>
  <dcterms:modified xsi:type="dcterms:W3CDTF">2021-03-09T07:49:07Z</dcterms:modified>
  <cp:category/>
  <cp:version/>
  <cp:contentType/>
  <cp:contentStatus/>
</cp:coreProperties>
</file>