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16" yWindow="65416" windowWidth="29040" windowHeight="15840" tabRatio="429" activeTab="0"/>
  </bookViews>
  <sheets>
    <sheet name="oblast u grillů" sheetId="2" r:id="rId1"/>
  </sheets>
  <definedNames>
    <definedName name="__xlnm.Print_Area_1" localSheetId="0">'oblast u grillů'!$A$56:$G$232</definedName>
    <definedName name="__xlnm.Print_Area_1">#REF!</definedName>
    <definedName name="Excel_BuiltIn_Print_Area_1_1" localSheetId="0">'oblast u grillů'!$A$56:$G$232</definedName>
    <definedName name="Excel_BuiltIn_Print_Area_1_1">#REF!</definedName>
    <definedName name="Excel_BuiltIn_Print_Area_1_1_1" localSheetId="0">'oblast u grillů'!$A$56:$G$232</definedName>
    <definedName name="Excel_BuiltIn_Print_Area_1_1_1">#REF!</definedName>
    <definedName name="Excel_BuiltIn_Print_Area_1_1_1_1" localSheetId="0">'oblast u grillů'!$A$80:$G$232</definedName>
    <definedName name="Excel_BuiltIn_Print_Area_1_1_1_1">#REF!</definedName>
    <definedName name="Excel_BuiltIn_Print_Area_2">"#REF!"</definedName>
    <definedName name="Excel_BuiltIn_Print_Area_2_1">"#REF!"</definedName>
    <definedName name="_xlnm.Print_Area" localSheetId="0">'oblast u grillů'!$A$1:$G$231</definedName>
  </definedNames>
  <calcPr calcId="191029"/>
  <extLst/>
</workbook>
</file>

<file path=xl/sharedStrings.xml><?xml version="1.0" encoding="utf-8"?>
<sst xmlns="http://schemas.openxmlformats.org/spreadsheetml/2006/main" count="478" uniqueCount="241">
  <si>
    <t>Náklady za rostlinný materiál</t>
  </si>
  <si>
    <t>latinský název</t>
  </si>
  <si>
    <t>český název</t>
  </si>
  <si>
    <t>výsadbová velikost</t>
  </si>
  <si>
    <t>cena za kus</t>
  </si>
  <si>
    <t>levandule lékařská</t>
  </si>
  <si>
    <t xml:space="preserve">název </t>
  </si>
  <si>
    <t>počet</t>
  </si>
  <si>
    <t>ks</t>
  </si>
  <si>
    <t>m2</t>
  </si>
  <si>
    <t>m3</t>
  </si>
  <si>
    <t xml:space="preserve">Příprava záhonů </t>
  </si>
  <si>
    <t xml:space="preserve">Příprava záhonů – celkem </t>
  </si>
  <si>
    <t>kg</t>
  </si>
  <si>
    <t>t</t>
  </si>
  <si>
    <t>Mulčování vysazených rostlin mulčovací kůrou, tloušťky do 100 mm na rovině nebo svahu do 1:5</t>
  </si>
  <si>
    <t>R</t>
  </si>
  <si>
    <t>specifikace</t>
  </si>
  <si>
    <t>184 91-1421</t>
  </si>
  <si>
    <t>185 80-2113</t>
  </si>
  <si>
    <t>Chemické odplevelení půdy před založením kultury, trávníku nebo zpevněných ploch o výměře přes 20 m2 v rovině nebo na svahu 1:5 postřikem na široko</t>
  </si>
  <si>
    <t>184 91-1311</t>
  </si>
  <si>
    <t>l</t>
  </si>
  <si>
    <t>184 80-2111</t>
  </si>
  <si>
    <t xml:space="preserve">Výsadba kontejnerového keře </t>
  </si>
  <si>
    <t>111 11-1411</t>
  </si>
  <si>
    <t>Hloubení jamek pro vysazování rostlin v zemině 1 až 4 s výměnou půdy na 50 % v rovině nebo na svahu do 1:5, objemu přes 0,01 do 0,02 m3</t>
  </si>
  <si>
    <t>184 10-2111</t>
  </si>
  <si>
    <t>Výsadba dřeviny s balem do předem vyhloubené jamky se zalitím v rovině nebo na svahu do 1:5, při průměru balu přes  100 mm do 200 mm</t>
  </si>
  <si>
    <t>Dodávka mulčovací kůry tl. vrstvy 0,1 m, vč. ceny dopravy materiálu</t>
  </si>
  <si>
    <t>Pěstební substrát 0,01 m3 / 1 ks, včetně ceny dopravy materiálu</t>
  </si>
  <si>
    <t>počet kusů</t>
  </si>
  <si>
    <t>cena celkem bez DPH</t>
  </si>
  <si>
    <t>183 11-1214</t>
  </si>
  <si>
    <t>185 80-4514</t>
  </si>
  <si>
    <t>m</t>
  </si>
  <si>
    <t>185 80-4311</t>
  </si>
  <si>
    <t>185 80-4312</t>
  </si>
  <si>
    <t>111 15-1221</t>
  </si>
  <si>
    <t>185 85-1212</t>
  </si>
  <si>
    <t>183 45-1311</t>
  </si>
  <si>
    <t>Dodávka totální herbicid v dávce  0,0008 l/m2 , vč. ceny dopravy materiálu</t>
  </si>
  <si>
    <t>Dodávka mulčovací kůry (vrstva mulče 0,10 m), vč. ceny dopravy materiálu</t>
  </si>
  <si>
    <t>Stavební práce</t>
  </si>
  <si>
    <t>Vytyčení rozmístění rostlin na záhony</t>
  </si>
  <si>
    <t>Plošná úprava pláně a válcování</t>
  </si>
  <si>
    <t>Nižší keře a půdopokryvné rostliny - celkem</t>
  </si>
  <si>
    <t>m.j.</t>
  </si>
  <si>
    <t>Náklady za práce - sadové úpravy</t>
  </si>
  <si>
    <t>185 80-4511</t>
  </si>
  <si>
    <t>185 80-4252</t>
  </si>
  <si>
    <t>185 85-1121</t>
  </si>
  <si>
    <t>Dovoz vody pro zálivku rostlin na vzdálenost do 1000 m</t>
  </si>
  <si>
    <t>596 91-1111</t>
  </si>
  <si>
    <t>Uložení biologického materiálu na skládku a skládkovné</t>
  </si>
  <si>
    <t>Přesun hmot pro sadovnické a krajinářské účely - strojně dopravní vzdálenost do 5000 m</t>
  </si>
  <si>
    <t>998 23-1311</t>
  </si>
  <si>
    <t>Doprava rostlinného materiálu</t>
  </si>
  <si>
    <t>kpl</t>
  </si>
  <si>
    <t>Stavební práce - celkem</t>
  </si>
  <si>
    <t>Regenerace trávníků</t>
  </si>
  <si>
    <t>183 45-1411</t>
  </si>
  <si>
    <t>Prořezání trávníku hloubky do 5 mm bez přísevu travního osiva při souvislé ploše do 1000 m2 v rovině nebo na svahu do 1:5</t>
  </si>
  <si>
    <t>183 45-1511</t>
  </si>
  <si>
    <t>Výsadba kontejnerového keře – celkem</t>
  </si>
  <si>
    <t>Osazení obruby z ocelové pásoviny tl. 5 mm</t>
  </si>
  <si>
    <t>Obruba z ocelové pásoviny tl. 5 mm, včetně kotvících prvků a dopravy</t>
  </si>
  <si>
    <t>Položení mulčovací textílie proti prorůstnání plevelů kolem vysázených rostlin v rovině nebo na svahu 1:5 vč. Ukotvení</t>
  </si>
  <si>
    <t>Výkop lože pro komunikaci do hloubky 240 mm</t>
  </si>
  <si>
    <t>Naložení výkopku ( plocha  * vrstva 0,24  * koef. Načechrání 1,3  )</t>
  </si>
  <si>
    <t>Odvoz a uložení na skládku (objem * obj. hmotnost 1,8 )</t>
  </si>
  <si>
    <t>1. podkladní vrstva - doprava materiálu</t>
  </si>
  <si>
    <t>kompl.</t>
  </si>
  <si>
    <t>Štěrk frakce 16/32 - materiál  ( plocha * vrstva 0,1 * obj.hm. 2)</t>
  </si>
  <si>
    <t>2. podkladní vrstva - doprava materiálu</t>
  </si>
  <si>
    <t>Svrchní vrstva - doprava materiálu</t>
  </si>
  <si>
    <t>Svrchní vrstva - rozhrnutí materiálu</t>
  </si>
  <si>
    <t>Svrchní vrstva - vápenec fr. 0-4 mm, tl. 40 mm   (vrstva 0,04 m * plocha * obj hm 2 )</t>
  </si>
  <si>
    <t>Založení mlatové plochy</t>
  </si>
  <si>
    <t>Založení mlatové plochy - celkem -</t>
  </si>
  <si>
    <t>Naložení, odvoz a složení na skládku vč. Skládkovného</t>
  </si>
  <si>
    <t xml:space="preserve">Položení geotextile proti prorůstnání plevelů </t>
  </si>
  <si>
    <r>
      <t xml:space="preserve">Dodávka geotextilie proti prorůstnání plevelů </t>
    </r>
    <r>
      <rPr>
        <sz val="10"/>
        <rFont val="Arial"/>
        <family val="2"/>
      </rPr>
      <t xml:space="preserve">+ 5 % </t>
    </r>
    <r>
      <rPr>
        <sz val="10"/>
        <color indexed="8"/>
        <rFont val="Arial"/>
        <family val="2"/>
      </rPr>
      <t>překrytí, vč. ceny dopravy materiálu</t>
    </r>
  </si>
  <si>
    <t>Stavba:</t>
  </si>
  <si>
    <t>Místo:</t>
  </si>
  <si>
    <t>Objednatel:</t>
  </si>
  <si>
    <t>Datum:</t>
  </si>
  <si>
    <t>Zhotovitel:</t>
  </si>
  <si>
    <t>Projektant:</t>
  </si>
  <si>
    <t>Living in green s.r.o.</t>
  </si>
  <si>
    <t>Palackého 70</t>
  </si>
  <si>
    <t>252 29 Dobřichovice</t>
  </si>
  <si>
    <t>IČO: 24828301</t>
  </si>
  <si>
    <t>DIČ: CZ24828301</t>
  </si>
  <si>
    <t>Vypracoval:</t>
  </si>
  <si>
    <t>Ing. Pavlína Elfová</t>
  </si>
  <si>
    <t>Cena s DPH 21 %</t>
  </si>
  <si>
    <t>REKAPITULACE ROZPOČTU</t>
  </si>
  <si>
    <t>Cena celkem bez DPH</t>
  </si>
  <si>
    <t>Sazba DPH - 21 %</t>
  </si>
  <si>
    <t xml:space="preserve">Cena s DPH </t>
  </si>
  <si>
    <t>Náklady za práce - sadové úpravy - celkem</t>
  </si>
  <si>
    <t>Stavební úpravy</t>
  </si>
  <si>
    <t>Betonová patka pro ukotvení lavičky, včetně materiálu, dopravy a práce</t>
  </si>
  <si>
    <t>Betonová patka pro ukotvení koše, včetně materiálu, dopravy a práce</t>
  </si>
  <si>
    <t>Betonová patka pro ukotvení lehátka, včetně materiálu, dopravy a práce</t>
  </si>
  <si>
    <t>R+ specifikace</t>
  </si>
  <si>
    <t xml:space="preserve">Mobiliář </t>
  </si>
  <si>
    <t>Mobiliář  - celkem</t>
  </si>
  <si>
    <t>Mobiliář</t>
  </si>
  <si>
    <t>VRN (zařízení staveniště, vytyčení nženýrských sítí)</t>
  </si>
  <si>
    <t>Náklady za rostlinný materiál -  celkem</t>
  </si>
  <si>
    <t>Dodávka netkané mulčovací textílie proti prorůstnání plevelů + 5 % překrytí, vč. ceny dopravy materiálu a kotvících kolíků</t>
  </si>
  <si>
    <t>Odstranění stařiny ze souvislé plochy do 100 m2 v rovině nebo ve svahu do 1:5 s naložením a odvozem do 20 km</t>
  </si>
  <si>
    <t>183 21-1321</t>
  </si>
  <si>
    <t xml:space="preserve"> Výsadba květin do připravené půdy se zalitím do připravené půdy, se zalitím květin hrnkovaných o průměru květináče do 80 mm</t>
  </si>
  <si>
    <t xml:space="preserve"> Provzdušnění travnatých ploch hloubky do 100 mm, průměru provzdušňovacích otvorů do 25 mm bez přísevu travního osiva, souvislé plochy do 1000 m2 v rovině nebo na svahu do 1:5</t>
  </si>
  <si>
    <t>Zapískování travnatých ploch vrstvou písku tl. do 20 mm souvislé plochy do 1000 m2 v rovině nebo na svahu do 1:5 vč. rozprostření, zapravení a uválení písku hladkým válcem</t>
  </si>
  <si>
    <t>Mulčování vysazených rostlin mulčovací kůrou, tloušťky do 100 mm v rovině nebo svahu do 1:5 včetně likvidace odpadu, naložení, odvezení a se složením do 20 km (1x / rok)</t>
  </si>
  <si>
    <t>Odplevelení výsadeb v rovině nebo na svahu do 1:5 souvislých keřových skupin včetně likvidace odpadu, naložení, odvezení a se složením do 20 km (2x / rok)</t>
  </si>
  <si>
    <t>Odplevelení výsadeb květin v rovině nebo na svahu do 1:5 včetně likvidace odpadu, naložení, odvezení a se složením do 20 km (5x / rok)</t>
  </si>
  <si>
    <t>Mulčování vysazených rostlin mulčovací kůrou, tloušťky do 100 mm na rovině nebo svahu do 1:5 včetně likvidace odpadu, naložení, odvezení a se složením do 20 km (1x / rok)</t>
  </si>
  <si>
    <t>Odstranění odkvetlých a odumřelých částí rostlin ze záhonů trvalek, včetně vynesení a naložení odpadu a odvozu do 20 km se složením (1x / rok)</t>
  </si>
  <si>
    <t xml:space="preserve"> Shrabání listí ručně nebo strojně souvislé plochy přes 1000 do 10 000 m2 bez pokryvných rostlin v rovině nebo na svahu do 1:5, ve vrstvě přes 50 do 100 mm včetně vynesení a naložení odpadu a odvozu do 20 km se složením (2x / rok)</t>
  </si>
  <si>
    <t xml:space="preserve"> Nakládání, skládání a překládání neulehlého výkopku nebo sypaniny ručně skládání nebo překládání, z hornin třídy těžitelnosti I, skupiny 1 až 3 (vrstva * plocha )</t>
  </si>
  <si>
    <t>167 11-1121</t>
  </si>
  <si>
    <t xml:space="preserve"> Kladení šlapáků z jednotlivých kusů do lože ze štěrkopísku nebo z prohozené zeminy v rovině nebo na svahu do 1:5 včetně naložení odpadu na dopravní prostředek, odvoz na vzdálenost do 20 km a složení</t>
  </si>
  <si>
    <t>1. podkladní vrstva - rozhrnutí materiálu a hutnění</t>
  </si>
  <si>
    <t>2. podkladní vrstva - rozhrnutí materiálu a hutnění</t>
  </si>
  <si>
    <t>Hutnění vibrační deskou 4x (vždy po 1 cm položení krycí vrstvy)</t>
  </si>
  <si>
    <t>Hnojení tabletovým hnojivem s obsahem ureaformu hořčíku a stopových prvků  vč. Dodávky (1 ks tablet / nižší keř nebo půdopokryvná rostlina), vč. ceny dopravy materiálu a aplikace</t>
  </si>
  <si>
    <t>Absorbční prostředek - práškový koncentrát  v dávce 10 g ke každému nižšímu keři nebo  půdopokryvné rostlině, vč. ceny dopravy materiálu a aplikace</t>
  </si>
  <si>
    <t>Pokosení trávníku parkového přes 1000 do 10 000 m2 v rovině nebo na svahu do 1:5 včetně shrabání a naložení shrabu na dopravní prostředek, odvozem do 20 km a se složením (8x / rok)</t>
  </si>
  <si>
    <t>Štěrk frakce 0/16 - materiál  (vrstva 0,1 m * plocha  * obj hm. 2)</t>
  </si>
  <si>
    <t>Plocha valounů</t>
  </si>
  <si>
    <t>Výkop lože pro komunikaci do hloubky 150 mm</t>
  </si>
  <si>
    <t>Plocha valounů - celkem</t>
  </si>
  <si>
    <t>Vysypání a rozhrnutí kačírku po plochách</t>
  </si>
  <si>
    <t>Neviditelný zahradnický obrubník, výška 100 mm, materiál a doprava</t>
  </si>
  <si>
    <t>Kotvící hřeby k neviditelnému obrubníku, ocelové ( 3 ks na 1 m délky)</t>
  </si>
  <si>
    <t>Osazení obruby   včetně začištění</t>
  </si>
  <si>
    <t>Žulové valouny 10 - 20 cm, mix bílá - šedá, vrstva 0,1 m</t>
  </si>
  <si>
    <t>Doprava kamene na místo realizace</t>
  </si>
  <si>
    <t>Vysypání a rozhrnutí valounů po plochách</t>
  </si>
  <si>
    <t>Zalití rostlin vodou plochy záhonů jednotlivě přes 20 m2 (12x / rok, 20 l / m2)</t>
  </si>
  <si>
    <t>Zalití rostlin vodou plochy záhonů jednotlivě do 20 m2 (12x / rok, 20 l / m2)</t>
  </si>
  <si>
    <t>město Beroun</t>
  </si>
  <si>
    <t>Husovo náměstí 68</t>
  </si>
  <si>
    <t>266 01 Beroun - Centrum</t>
  </si>
  <si>
    <t>24.4.2020</t>
  </si>
  <si>
    <t>Parcelní čísla: 1192/68, 1192/43, 1192/45, 2454</t>
  </si>
  <si>
    <t xml:space="preserve">Genista tinctoria </t>
  </si>
  <si>
    <t>kručinka barvířská</t>
  </si>
  <si>
    <t>20 - 30</t>
  </si>
  <si>
    <t>Potentilla fruticosa 'Goldfinger'</t>
  </si>
  <si>
    <t>mochna křovitá</t>
  </si>
  <si>
    <t>Potentilla fruticosa 'Snowflake'</t>
  </si>
  <si>
    <t>Spiraea betulifolia</t>
  </si>
  <si>
    <t>tavolník břízolistý</t>
  </si>
  <si>
    <t xml:space="preserve">Spiraea japonica 'Shirobana' </t>
  </si>
  <si>
    <t>tavolník japonský</t>
  </si>
  <si>
    <t xml:space="preserve">Nižší keře a popínavé rostliny </t>
  </si>
  <si>
    <t>agastache</t>
  </si>
  <si>
    <t>k9</t>
  </si>
  <si>
    <t>Centranthus ruber 'Coccineus'</t>
  </si>
  <si>
    <t>mavuň červená</t>
  </si>
  <si>
    <t>Gaura lindheimeri 'Gambit White'</t>
  </si>
  <si>
    <t>gaura</t>
  </si>
  <si>
    <t>kosatec</t>
  </si>
  <si>
    <t>Knautia macedonica</t>
  </si>
  <si>
    <t>knautie</t>
  </si>
  <si>
    <t>Lavandula angustifolia 'Hid. Blue Strain'</t>
  </si>
  <si>
    <t>Leucanthemum vulgare 'Maikönigin'</t>
  </si>
  <si>
    <t>kopretina</t>
  </si>
  <si>
    <t>Miscanthus sinensis 'Kleine Fontäne'</t>
  </si>
  <si>
    <t>ozdobnice čínská</t>
  </si>
  <si>
    <t>C2</t>
  </si>
  <si>
    <t>Panicum virgatum 'Rotstrahlbusch'</t>
  </si>
  <si>
    <t>proso panenské</t>
  </si>
  <si>
    <t>Trvalky a traviny - výsadba v pásech</t>
  </si>
  <si>
    <t>Trvalky a traviny - výsadba v pásech - celkem</t>
  </si>
  <si>
    <t>Výsadba květin - výsadba v pásech</t>
  </si>
  <si>
    <t>Výsadba květin - výsadba v pásech - celkem</t>
  </si>
  <si>
    <t>183 40-3153</t>
  </si>
  <si>
    <t xml:space="preserve">Obdělávání půdy hrabáním v rovině  nebo na svahu do 1:5 </t>
  </si>
  <si>
    <t>181 11-4711</t>
  </si>
  <si>
    <t>Odstranění kamene sebráním a naložením na dopravní prostředek hmotnosti jednotlivě do 15 kg</t>
  </si>
  <si>
    <t>181 31-1103</t>
  </si>
  <si>
    <t xml:space="preserve"> Rozprostření a urovnání ornice v rovině nebo ve svahu sklonu do 1:5 ručně při souvislé ploše, tl. vrstvy do 200 mm</t>
  </si>
  <si>
    <t>181 41-1131</t>
  </si>
  <si>
    <t>Založení parkového trávníku na půdě předem připravené plochy do 1000 m2 výsevem včetně utažení  v rovině nebo na svahu do 1:5</t>
  </si>
  <si>
    <t xml:space="preserve">Dodání travního osiva (Parková směs) při výsevku 250 kg/ha </t>
  </si>
  <si>
    <t>Hnojení půdy nebo trávníku v rovině nebo ve svahu 1:5 umělým hnojivem na široko</t>
  </si>
  <si>
    <t>Trávníkové hnojivo 30 g/m2, vč. ceny dopravy materiálu</t>
  </si>
  <si>
    <t>111 15-1121</t>
  </si>
  <si>
    <t>Pokosení parkového trávníku při souvislé ploše do 1 000 m2 s odvozem do 20 km v rovině nebo svahu do 1:5, 3x</t>
  </si>
  <si>
    <t xml:space="preserve">Založení trávníku zahradnickým způsobem včetně ceny osiva – celkem </t>
  </si>
  <si>
    <t xml:space="preserve">Dodání travního osiva (Parková směs) při výsevku 2 g/m2 </t>
  </si>
  <si>
    <t xml:space="preserve">Dodání křemičitého písku při spotřebě 4 l/m2  </t>
  </si>
  <si>
    <t xml:space="preserve">Regenerace trávníků – celkem </t>
  </si>
  <si>
    <t>Následná péče o výsadby</t>
  </si>
  <si>
    <t>Následná péče o keřové výsadby po dobu 3 let</t>
  </si>
  <si>
    <t>Následná péče o keřové výsadby po dobu 3 let - celkem</t>
  </si>
  <si>
    <t>Geodetické vytyčení záhonů v prostoru</t>
  </si>
  <si>
    <t>Svázání okrasných travin do snopů, práce, materiál (1x/rok)</t>
  </si>
  <si>
    <t>Následná péče o trvalkové výsadby po dobu 3 let</t>
  </si>
  <si>
    <t>Následná péče o výsadby - celkem</t>
  </si>
  <si>
    <t>Následná péče o travnaté plochy po dobu 3 let - celkem</t>
  </si>
  <si>
    <t>Uložení bioodpadu vzniklého následnou péčí o výsadby v roce na skládku  (100 kg bioodpadu na jednu seč a pletí)</t>
  </si>
  <si>
    <t xml:space="preserve">Náklady na dopravu </t>
  </si>
  <si>
    <t>Betonové dlaždice</t>
  </si>
  <si>
    <t>Betonové dlaždice- celkem</t>
  </si>
  <si>
    <t>Betonová dlaždice 40 x 40 x 4 cm, včetně dopravy</t>
  </si>
  <si>
    <t>Naložení výkopku</t>
  </si>
  <si>
    <t>Parková lavička s opěradlem dl.1800mm / alu slitina + prášk.vypal.barva / dřevo dub, včetně dopravy</t>
  </si>
  <si>
    <t>Parková lavička bez opěradla dl.1800mm / alu slitina + prášk.vypal.barva / dřevo dub, včetně dopravy</t>
  </si>
  <si>
    <t>Odpadkový koš se stříškou, ocel zn.+prášk.vypal.barva / dřevo dub, včetně dopravy</t>
  </si>
  <si>
    <t>Lehátko, dl.600 mm x š.1586mm / ocel zn.+prášk.vypal.barva / dřevo dub, včetně dopravy</t>
  </si>
  <si>
    <t>stůl, dl.1800mm / ocel zn.+prášk.vypal.barva / dřevo dub</t>
  </si>
  <si>
    <t>Betonová patka pro ukotvení stolu, včetně materiálu, dopravy a práce</t>
  </si>
  <si>
    <t>Montáž prvků na zpevněný podklad (vrtání, chemie, kotvící materiál, instalace)</t>
  </si>
  <si>
    <t>Doprava, manipulace</t>
  </si>
  <si>
    <t>Veřejný grill, průměr 100 cm, výška 700 mm, ocel, včetně roštu</t>
  </si>
  <si>
    <t>Betonová patka pro ukotvení grillu, včetně materiálu, dopravy a práce</t>
  </si>
  <si>
    <t xml:space="preserve">Následná péče o výsadby </t>
  </si>
  <si>
    <t>Tříděná zemina bonity I., včetně dopravy (vrstva 0,3 - 0,1 m), násobeno koeficientem slehnutí 1,3)</t>
  </si>
  <si>
    <t>Následná péče o travnaté plochy po dobu 3 let (zakládané i stávající)</t>
  </si>
  <si>
    <t>Agastache  'Black Adder'</t>
  </si>
  <si>
    <t>Iris pallida 'Dalmatica'</t>
  </si>
  <si>
    <t>Založení trávníku zahradnickým způsobem včetně ceny osiva a první seče  (včetně navážky zeminy podél chodníku)</t>
  </si>
  <si>
    <t>Kačírek fr. 16/35 mm (plocha 81,7 m2 * 0,05 = 4,1 m3 = 8,2 t) vč ceny dopravy materiálu</t>
  </si>
  <si>
    <t>Wisteria floribunda</t>
  </si>
  <si>
    <t>vistárie květnatá</t>
  </si>
  <si>
    <t>RK2</t>
  </si>
  <si>
    <t>Lonicera x brownii</t>
  </si>
  <si>
    <t>zimolez Brownův</t>
  </si>
  <si>
    <t>Konstrukce pro popínavé dřeviny</t>
  </si>
  <si>
    <t>Konstrukce pro popínavé dřeviny (půdorys 1000 x 220 cm, výška 230 cm, ocelový profil 10 x 10 cm, prášková vypalovací barva antracit, lanka z pozinkovaného ocelového lana průměr 4 mm), práce, doprava, materiál</t>
  </si>
  <si>
    <t>Betonová patka pro ukotvení konstrukce</t>
  </si>
  <si>
    <t>Konstrukce pro popínavé dřeviny - celkem</t>
  </si>
  <si>
    <t>REVITALIZACE PARKU KOŠŤÁLKOVA - ETAPA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</si>
</sst>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#,##0\ [$Kč-405];[Red]\-#,##0\ [$Kč-405]"/>
    <numFmt numFmtId="166" formatCode="#,##0.00&quot; Kč&quot;"/>
    <numFmt numFmtId="167" formatCode="0.000"/>
    <numFmt numFmtId="168" formatCode="0.0"/>
    <numFmt numFmtId="169" formatCode="#,##0.00\ &quot;Kč&quot;"/>
    <numFmt numFmtId="170" formatCode="0.00%;\-0.00%"/>
    <numFmt numFmtId="171" formatCode="#,##0.00\ [$Kč-405]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55"/>
      <name val="Arial"/>
      <family val="2"/>
    </font>
    <font>
      <b/>
      <sz val="13"/>
      <color rgb="FFFF0000"/>
      <name val="Arial"/>
      <family val="2"/>
    </font>
    <font>
      <sz val="8"/>
      <color indexed="55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0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3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2" fillId="0" borderId="0" xfId="20" applyFont="1" applyFill="1" applyAlignment="1">
      <alignment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164" fontId="6" fillId="0" borderId="1" xfId="20" applyNumberFormat="1" applyFont="1" applyFill="1" applyBorder="1" applyAlignment="1">
      <alignment horizontal="right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64" fontId="0" fillId="0" borderId="1" xfId="20" applyNumberFormat="1" applyFont="1" applyFill="1" applyBorder="1" applyAlignment="1">
      <alignment horizontal="right" vertical="center"/>
      <protection/>
    </xf>
    <xf numFmtId="14" fontId="0" fillId="2" borderId="1" xfId="20" applyNumberFormat="1" applyFont="1" applyFill="1" applyBorder="1" applyAlignment="1">
      <alignment horizontal="center" vertical="center"/>
      <protection/>
    </xf>
    <xf numFmtId="164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2" fillId="3" borderId="0" xfId="20" applyFont="1" applyFill="1">
      <alignment/>
      <protection/>
    </xf>
    <xf numFmtId="0" fontId="3" fillId="3" borderId="0" xfId="20" applyFont="1" applyFill="1">
      <alignment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2" fontId="0" fillId="0" borderId="1" xfId="20" applyNumberFormat="1" applyFont="1" applyFill="1" applyBorder="1" applyAlignment="1">
      <alignment horizontal="center" vertical="center"/>
      <protection/>
    </xf>
    <xf numFmtId="0" fontId="4" fillId="4" borderId="1" xfId="20" applyFont="1" applyFill="1" applyBorder="1" applyAlignment="1">
      <alignment vertical="center"/>
      <protection/>
    </xf>
    <xf numFmtId="0" fontId="0" fillId="3" borderId="1" xfId="0" applyFont="1" applyFill="1" applyBorder="1" applyAlignment="1">
      <alignment horizontal="center" vertical="center"/>
    </xf>
    <xf numFmtId="0" fontId="12" fillId="0" borderId="0" xfId="20" applyFont="1">
      <alignment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5" borderId="0" xfId="20" applyFont="1" applyFill="1">
      <alignment/>
      <protection/>
    </xf>
    <xf numFmtId="0" fontId="2" fillId="6" borderId="1" xfId="20" applyFont="1" applyFill="1" applyBorder="1" applyAlignment="1">
      <alignment horizontal="center" vertical="center"/>
      <protection/>
    </xf>
    <xf numFmtId="0" fontId="2" fillId="6" borderId="0" xfId="20" applyFont="1" applyFill="1">
      <alignment/>
      <protection/>
    </xf>
    <xf numFmtId="0" fontId="2" fillId="7" borderId="1" xfId="20" applyFont="1" applyFill="1" applyBorder="1" applyAlignment="1">
      <alignment horizontal="center" vertical="center"/>
      <protection/>
    </xf>
    <xf numFmtId="0" fontId="0" fillId="8" borderId="1" xfId="0" applyFont="1" applyFill="1" applyBorder="1" applyAlignment="1">
      <alignment horizontal="center" vertical="center"/>
    </xf>
    <xf numFmtId="0" fontId="0" fillId="8" borderId="1" xfId="20" applyFont="1" applyFill="1" applyBorder="1">
      <alignment/>
      <protection/>
    </xf>
    <xf numFmtId="0" fontId="0" fillId="8" borderId="1" xfId="0" applyFont="1" applyFill="1" applyBorder="1" applyAlignment="1">
      <alignment horizontal="center" vertical="center"/>
    </xf>
    <xf numFmtId="0" fontId="0" fillId="8" borderId="1" xfId="20" applyFont="1" applyFill="1" applyBorder="1" applyAlignment="1">
      <alignment horizontal="center" vertical="center"/>
      <protection/>
    </xf>
    <xf numFmtId="0" fontId="0" fillId="8" borderId="0" xfId="20" applyFont="1" applyFill="1" applyBorder="1">
      <alignment/>
      <protection/>
    </xf>
    <xf numFmtId="49" fontId="0" fillId="0" borderId="1" xfId="0" applyNumberFormat="1" applyBorder="1" applyAlignment="1">
      <alignment horizontal="center" vertical="center"/>
    </xf>
    <xf numFmtId="49" fontId="13" fillId="0" borderId="1" xfId="20" applyNumberFormat="1" applyFont="1" applyFill="1" applyBorder="1" applyAlignment="1">
      <alignment horizontal="center" vertical="center" wrapText="1"/>
      <protection/>
    </xf>
    <xf numFmtId="0" fontId="0" fillId="9" borderId="0" xfId="20" applyFont="1" applyFill="1">
      <alignment/>
      <protection/>
    </xf>
    <xf numFmtId="0" fontId="0" fillId="9" borderId="1" xfId="0" applyFont="1" applyFill="1" applyBorder="1" applyAlignment="1">
      <alignment horizontal="center" vertical="center"/>
    </xf>
    <xf numFmtId="0" fontId="3" fillId="10" borderId="0" xfId="20" applyFont="1" applyFill="1">
      <alignment/>
      <protection/>
    </xf>
    <xf numFmtId="0" fontId="5" fillId="4" borderId="1" xfId="20" applyFont="1" applyFill="1" applyBorder="1" applyAlignment="1">
      <alignment vertical="center"/>
      <protection/>
    </xf>
    <xf numFmtId="0" fontId="3" fillId="0" borderId="0" xfId="20" applyFont="1">
      <alignment/>
      <protection/>
    </xf>
    <xf numFmtId="169" fontId="0" fillId="0" borderId="1" xfId="20" applyNumberFormat="1" applyFont="1" applyFill="1" applyBorder="1" applyAlignment="1">
      <alignment horizontal="right" vertical="center"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0" fontId="6" fillId="8" borderId="1" xfId="20" applyFont="1" applyFill="1" applyBorder="1" applyAlignment="1">
      <alignment horizontal="center" vertical="center"/>
      <protection/>
    </xf>
    <xf numFmtId="168" fontId="0" fillId="8" borderId="1" xfId="20" applyNumberFormat="1" applyFont="1" applyFill="1" applyBorder="1" applyAlignment="1">
      <alignment horizontal="center" vertical="center"/>
      <protection/>
    </xf>
    <xf numFmtId="2" fontId="6" fillId="8" borderId="1" xfId="20" applyNumberFormat="1" applyFont="1" applyFill="1" applyBorder="1" applyAlignment="1">
      <alignment horizontal="center" vertical="center"/>
      <protection/>
    </xf>
    <xf numFmtId="9" fontId="0" fillId="11" borderId="1" xfId="20" applyNumberFormat="1" applyFont="1" applyFill="1" applyBorder="1" applyAlignment="1">
      <alignment horizontal="center" vertical="center"/>
      <protection/>
    </xf>
    <xf numFmtId="0" fontId="2" fillId="12" borderId="1" xfId="20" applyFont="1" applyFill="1" applyBorder="1">
      <alignment/>
      <protection/>
    </xf>
    <xf numFmtId="0" fontId="2" fillId="0" borderId="0" xfId="20" applyFont="1" applyBorder="1" applyAlignment="1">
      <alignment vertical="center"/>
      <protection/>
    </xf>
    <xf numFmtId="165" fontId="0" fillId="0" borderId="0" xfId="20" applyNumberFormat="1" applyFont="1" applyFill="1" applyBorder="1" applyAlignment="1">
      <alignment vertical="center"/>
      <protection/>
    </xf>
    <xf numFmtId="165" fontId="0" fillId="8" borderId="0" xfId="20" applyNumberFormat="1" applyFont="1" applyFill="1" applyBorder="1" applyAlignment="1">
      <alignment vertical="center"/>
      <protection/>
    </xf>
    <xf numFmtId="165" fontId="7" fillId="11" borderId="0" xfId="20" applyNumberFormat="1" applyFont="1" applyFill="1" applyBorder="1" applyAlignment="1">
      <alignment vertical="center"/>
      <protection/>
    </xf>
    <xf numFmtId="169" fontId="0" fillId="8" borderId="1" xfId="20" applyNumberFormat="1" applyFont="1" applyFill="1" applyBorder="1" applyAlignment="1">
      <alignment horizontal="right" vertical="center"/>
      <protection/>
    </xf>
    <xf numFmtId="169" fontId="6" fillId="8" borderId="1" xfId="20" applyNumberFormat="1" applyFont="1" applyFill="1" applyBorder="1" applyAlignment="1">
      <alignment horizontal="right" vertical="center"/>
      <protection/>
    </xf>
    <xf numFmtId="9" fontId="0" fillId="0" borderId="1" xfId="20" applyNumberFormat="1" applyFont="1" applyFill="1" applyBorder="1" applyAlignment="1">
      <alignment horizontal="center" vertical="center"/>
      <protection/>
    </xf>
    <xf numFmtId="0" fontId="2" fillId="13" borderId="1" xfId="20" applyFont="1" applyFill="1" applyBorder="1" applyAlignment="1">
      <alignment horizontal="center" vertical="center"/>
      <protection/>
    </xf>
    <xf numFmtId="0" fontId="3" fillId="10" borderId="0" xfId="20" applyFont="1" applyFill="1" applyBorder="1">
      <alignment/>
      <protection/>
    </xf>
    <xf numFmtId="0" fontId="2" fillId="0" borderId="1" xfId="20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right" vertical="center" wrapText="1"/>
      <protection/>
    </xf>
    <xf numFmtId="169" fontId="7" fillId="14" borderId="1" xfId="20" applyNumberFormat="1" applyFont="1" applyFill="1" applyBorder="1" applyAlignment="1">
      <alignment vertical="center"/>
      <protection/>
    </xf>
    <xf numFmtId="169" fontId="7" fillId="15" borderId="1" xfId="20" applyNumberFormat="1" applyFont="1" applyFill="1" applyBorder="1" applyAlignment="1">
      <alignment vertical="center"/>
      <protection/>
    </xf>
    <xf numFmtId="169" fontId="7" fillId="4" borderId="1" xfId="20" applyNumberFormat="1" applyFont="1" applyFill="1" applyBorder="1" applyAlignment="1">
      <alignment vertical="center"/>
      <protection/>
    </xf>
    <xf numFmtId="169" fontId="0" fillId="0" borderId="1" xfId="20" applyNumberFormat="1" applyFont="1" applyFill="1" applyBorder="1" applyAlignment="1">
      <alignment horizontal="right" vertical="center" wrapText="1"/>
      <protection/>
    </xf>
    <xf numFmtId="169" fontId="7" fillId="16" borderId="1" xfId="20" applyNumberFormat="1" applyFont="1" applyFill="1" applyBorder="1" applyAlignment="1">
      <alignment vertical="center"/>
      <protection/>
    </xf>
    <xf numFmtId="169" fontId="3" fillId="12" borderId="1" xfId="20" applyNumberFormat="1" applyFont="1" applyFill="1" applyBorder="1" applyAlignment="1">
      <alignment vertical="center"/>
      <protection/>
    </xf>
    <xf numFmtId="169" fontId="3" fillId="0" borderId="0" xfId="20" applyNumberFormat="1" applyFont="1" applyFill="1" applyBorder="1" applyAlignment="1">
      <alignment vertical="center"/>
      <protection/>
    </xf>
    <xf numFmtId="169" fontId="2" fillId="0" borderId="0" xfId="20" applyNumberFormat="1" applyFont="1" applyAlignment="1">
      <alignment vertical="center"/>
      <protection/>
    </xf>
    <xf numFmtId="14" fontId="0" fillId="2" borderId="1" xfId="20" applyNumberFormat="1" applyFont="1" applyFill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0" fontId="0" fillId="8" borderId="1" xfId="20" applyFont="1" applyFill="1" applyBorder="1" applyAlignment="1">
      <alignment horizontal="center" vertical="center"/>
      <protection/>
    </xf>
    <xf numFmtId="164" fontId="0" fillId="8" borderId="1" xfId="20" applyNumberFormat="1" applyFont="1" applyFill="1" applyBorder="1" applyAlignment="1">
      <alignment horizontal="right" vertical="center"/>
      <protection/>
    </xf>
    <xf numFmtId="0" fontId="2" fillId="8" borderId="0" xfId="20" applyFont="1" applyFill="1">
      <alignment/>
      <protection/>
    </xf>
    <xf numFmtId="0" fontId="0" fillId="8" borderId="1" xfId="20" applyFont="1" applyFill="1" applyBorder="1" applyAlignment="1">
      <alignment horizontal="center" vertical="center" wrapText="1"/>
      <protection/>
    </xf>
    <xf numFmtId="169" fontId="0" fillId="8" borderId="1" xfId="20" applyNumberFormat="1" applyFont="1" applyFill="1" applyBorder="1" applyAlignment="1">
      <alignment horizontal="right" vertical="center" wrapText="1"/>
      <protection/>
    </xf>
    <xf numFmtId="0" fontId="0" fillId="8" borderId="0" xfId="20" applyFont="1" applyFill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0" fillId="8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2" fillId="6" borderId="0" xfId="20" applyFont="1" applyFill="1" applyBorder="1" applyAlignment="1">
      <alignment vertical="center"/>
      <protection/>
    </xf>
    <xf numFmtId="0" fontId="2" fillId="6" borderId="0" xfId="20" applyFont="1" applyFill="1" applyBorder="1">
      <alignment/>
      <protection/>
    </xf>
    <xf numFmtId="0" fontId="2" fillId="3" borderId="0" xfId="20" applyFont="1" applyFill="1" applyBorder="1" applyAlignment="1">
      <alignment vertical="center"/>
      <protection/>
    </xf>
    <xf numFmtId="0" fontId="2" fillId="3" borderId="0" xfId="20" applyFont="1" applyFill="1" applyBorder="1">
      <alignment/>
      <protection/>
    </xf>
    <xf numFmtId="0" fontId="3" fillId="3" borderId="0" xfId="20" applyFont="1" applyFill="1" applyBorder="1" applyAlignment="1">
      <alignment vertical="center"/>
      <protection/>
    </xf>
    <xf numFmtId="0" fontId="3" fillId="3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 vertical="center"/>
      <protection/>
    </xf>
    <xf numFmtId="164" fontId="0" fillId="3" borderId="0" xfId="20" applyNumberFormat="1" applyFont="1" applyFill="1" applyBorder="1" applyAlignment="1">
      <alignment horizontal="right" vertical="center"/>
      <protection/>
    </xf>
    <xf numFmtId="0" fontId="2" fillId="8" borderId="0" xfId="20" applyFont="1" applyFill="1" applyBorder="1" applyAlignment="1">
      <alignment vertical="center"/>
      <protection/>
    </xf>
    <xf numFmtId="0" fontId="2" fillId="8" borderId="0" xfId="20" applyFont="1" applyFill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0" fillId="9" borderId="0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1" fontId="7" fillId="2" borderId="1" xfId="20" applyNumberFormat="1" applyFont="1" applyFill="1" applyBorder="1" applyAlignment="1">
      <alignment horizontal="center" vertical="center"/>
      <protection/>
    </xf>
    <xf numFmtId="169" fontId="3" fillId="7" borderId="1" xfId="20" applyNumberFormat="1" applyFont="1" applyFill="1" applyBorder="1" applyAlignment="1">
      <alignment vertical="center"/>
      <protection/>
    </xf>
    <xf numFmtId="167" fontId="0" fillId="3" borderId="1" xfId="20" applyNumberFormat="1" applyFont="1" applyFill="1" applyBorder="1" applyAlignment="1">
      <alignment horizontal="center" vertical="center"/>
      <protection/>
    </xf>
    <xf numFmtId="164" fontId="0" fillId="11" borderId="1" xfId="20" applyNumberFormat="1" applyFont="1" applyFill="1" applyBorder="1" applyAlignment="1">
      <alignment horizontal="center" vertical="center"/>
      <protection/>
    </xf>
    <xf numFmtId="169" fontId="7" fillId="11" borderId="1" xfId="20" applyNumberFormat="1" applyFont="1" applyFill="1" applyBorder="1" applyAlignment="1">
      <alignment vertical="center"/>
      <protection/>
    </xf>
    <xf numFmtId="169" fontId="2" fillId="0" borderId="1" xfId="20" applyNumberFormat="1" applyFont="1" applyBorder="1" applyAlignment="1">
      <alignment horizontal="right" vertical="center"/>
      <protection/>
    </xf>
    <xf numFmtId="0" fontId="0" fillId="5" borderId="1" xfId="0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vertical="center"/>
      <protection/>
    </xf>
    <xf numFmtId="169" fontId="7" fillId="12" borderId="1" xfId="20" applyNumberFormat="1" applyFont="1" applyFill="1" applyBorder="1" applyAlignment="1">
      <alignment vertical="center"/>
      <protection/>
    </xf>
    <xf numFmtId="169" fontId="7" fillId="5" borderId="1" xfId="20" applyNumberFormat="1" applyFont="1" applyFill="1" applyBorder="1" applyAlignment="1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17" borderId="1" xfId="20" applyFill="1" applyBorder="1" applyAlignment="1">
      <alignment horizontal="center" vertical="center"/>
      <protection/>
    </xf>
    <xf numFmtId="0" fontId="0" fillId="18" borderId="1" xfId="20" applyFill="1" applyBorder="1" applyAlignment="1">
      <alignment horizontal="center" vertical="center"/>
      <protection/>
    </xf>
    <xf numFmtId="0" fontId="0" fillId="8" borderId="1" xfId="20" applyFill="1" applyBorder="1" applyAlignment="1">
      <alignment horizontal="center" vertical="center"/>
      <protection/>
    </xf>
    <xf numFmtId="0" fontId="0" fillId="19" borderId="1" xfId="20" applyFill="1" applyBorder="1" applyAlignment="1">
      <alignment horizontal="center" vertical="center"/>
      <protection/>
    </xf>
    <xf numFmtId="0" fontId="0" fillId="19" borderId="1" xfId="20" applyFont="1" applyFill="1" applyBorder="1" applyAlignment="1">
      <alignment horizontal="center" vertical="center"/>
      <protection/>
    </xf>
    <xf numFmtId="0" fontId="0" fillId="18" borderId="1" xfId="20" applyFont="1" applyFill="1" applyBorder="1" applyAlignment="1">
      <alignment horizontal="center" vertical="center"/>
      <protection/>
    </xf>
    <xf numFmtId="0" fontId="0" fillId="8" borderId="3" xfId="20" applyFont="1" applyFill="1" applyBorder="1" applyAlignment="1">
      <alignment vertical="center"/>
      <protection/>
    </xf>
    <xf numFmtId="164" fontId="0" fillId="8" borderId="1" xfId="20" applyNumberFormat="1" applyFont="1" applyFill="1" applyBorder="1" applyAlignment="1">
      <alignment horizontal="right" vertical="center"/>
      <protection/>
    </xf>
    <xf numFmtId="169" fontId="0" fillId="8" borderId="1" xfId="20" applyNumberFormat="1" applyFont="1" applyFill="1" applyBorder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7" fillId="12" borderId="1" xfId="20" applyFont="1" applyFill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9" fillId="8" borderId="0" xfId="20" applyFont="1" applyFill="1" applyAlignment="1">
      <alignment horizontal="center" vertical="center"/>
      <protection/>
    </xf>
    <xf numFmtId="0" fontId="13" fillId="0" borderId="0" xfId="23" applyFont="1">
      <alignment/>
      <protection/>
    </xf>
    <xf numFmtId="0" fontId="13" fillId="8" borderId="0" xfId="23" applyFont="1" applyFill="1">
      <alignment/>
      <protection/>
    </xf>
    <xf numFmtId="0" fontId="3" fillId="0" borderId="0" xfId="20" applyFont="1" applyAlignment="1">
      <alignment horizontal="center" vertical="center"/>
      <protection/>
    </xf>
    <xf numFmtId="0" fontId="16" fillId="0" borderId="0" xfId="23" applyFont="1" applyAlignment="1" applyProtection="1">
      <alignment horizontal="left" vertical="center"/>
      <protection locked="0"/>
    </xf>
    <xf numFmtId="0" fontId="13" fillId="0" borderId="0" xfId="23" applyFont="1" applyAlignment="1" applyProtection="1">
      <alignment horizontal="left" vertical="center"/>
      <protection locked="0"/>
    </xf>
    <xf numFmtId="170" fontId="16" fillId="0" borderId="0" xfId="23" applyNumberFormat="1" applyFont="1" applyAlignment="1" applyProtection="1">
      <alignment vertical="center"/>
      <protection locked="0"/>
    </xf>
    <xf numFmtId="0" fontId="13" fillId="8" borderId="0" xfId="23" applyFont="1" applyFill="1" applyAlignment="1" applyProtection="1">
      <alignment horizontal="left" vertical="center"/>
      <protection locked="0"/>
    </xf>
    <xf numFmtId="0" fontId="4" fillId="20" borderId="0" xfId="20" applyFont="1" applyFill="1" applyAlignment="1">
      <alignment vertical="center"/>
      <protection/>
    </xf>
    <xf numFmtId="0" fontId="15" fillId="12" borderId="0" xfId="23" applyFont="1" applyFill="1" applyAlignment="1">
      <alignment vertical="center"/>
      <protection/>
    </xf>
    <xf numFmtId="169" fontId="15" fillId="12" borderId="1" xfId="23" applyNumberFormat="1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7" fillId="8" borderId="0" xfId="20" applyFont="1" applyFill="1" applyAlignment="1">
      <alignment horizontal="left" vertical="center"/>
      <protection/>
    </xf>
    <xf numFmtId="0" fontId="0" fillId="0" borderId="0" xfId="20" applyAlignment="1">
      <alignment horizontal="center" vertical="center"/>
      <protection/>
    </xf>
    <xf numFmtId="169" fontId="15" fillId="8" borderId="0" xfId="23" applyNumberFormat="1" applyFont="1" applyFill="1" applyAlignment="1">
      <alignment vertical="center"/>
      <protection/>
    </xf>
    <xf numFmtId="0" fontId="2" fillId="8" borderId="0" xfId="23" applyFont="1" applyFill="1">
      <alignment/>
      <protection/>
    </xf>
    <xf numFmtId="0" fontId="2" fillId="0" borderId="0" xfId="23" applyFont="1">
      <alignment/>
      <protection/>
    </xf>
    <xf numFmtId="0" fontId="17" fillId="0" borderId="0" xfId="20" applyFont="1" applyAlignment="1">
      <alignment horizontal="center" vertical="center"/>
      <protection/>
    </xf>
    <xf numFmtId="0" fontId="12" fillId="0" borderId="0" xfId="23" applyFont="1">
      <alignment/>
      <protection/>
    </xf>
    <xf numFmtId="0" fontId="12" fillId="8" borderId="0" xfId="23" applyFont="1" applyFill="1">
      <alignment/>
      <protection/>
    </xf>
    <xf numFmtId="0" fontId="12" fillId="0" borderId="0" xfId="20" applyFont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64" fontId="12" fillId="0" borderId="0" xfId="20" applyNumberFormat="1" applyFont="1" applyAlignment="1">
      <alignment horizontal="center" vertical="center"/>
      <protection/>
    </xf>
    <xf numFmtId="0" fontId="17" fillId="8" borderId="0" xfId="20" applyFont="1" applyFill="1" applyAlignment="1">
      <alignment horizontal="center" vertical="center"/>
      <protection/>
    </xf>
    <xf numFmtId="0" fontId="18" fillId="0" borderId="0" xfId="23" applyFont="1" applyAlignment="1" applyProtection="1">
      <alignment horizontal="left" vertical="center"/>
      <protection locked="0"/>
    </xf>
    <xf numFmtId="170" fontId="18" fillId="0" borderId="0" xfId="23" applyNumberFormat="1" applyFont="1" applyAlignment="1" applyProtection="1">
      <alignment vertical="center"/>
      <protection locked="0"/>
    </xf>
    <xf numFmtId="164" fontId="3" fillId="21" borderId="1" xfId="23" applyNumberFormat="1" applyFont="1" applyFill="1" applyBorder="1" applyAlignment="1">
      <alignment vertical="center"/>
      <protection/>
    </xf>
    <xf numFmtId="164" fontId="3" fillId="22" borderId="1" xfId="23" applyNumberFormat="1" applyFont="1" applyFill="1" applyBorder="1" applyAlignment="1">
      <alignment vertical="center"/>
      <protection/>
    </xf>
    <xf numFmtId="0" fontId="5" fillId="16" borderId="1" xfId="20" applyFont="1" applyFill="1" applyBorder="1" applyAlignment="1">
      <alignment vertical="center"/>
      <protection/>
    </xf>
    <xf numFmtId="164" fontId="3" fillId="9" borderId="1" xfId="23" applyNumberFormat="1" applyFont="1" applyFill="1" applyBorder="1" applyAlignment="1">
      <alignment vertical="center"/>
      <protection/>
    </xf>
    <xf numFmtId="164" fontId="3" fillId="23" borderId="1" xfId="20" applyNumberFormat="1" applyFont="1" applyFill="1" applyBorder="1" applyAlignment="1">
      <alignment horizontal="right" vertical="center"/>
      <protection/>
    </xf>
    <xf numFmtId="0" fontId="0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171" fontId="0" fillId="0" borderId="1" xfId="20" applyNumberFormat="1" applyBorder="1" applyAlignment="1">
      <alignment horizontal="right" vertical="center"/>
      <protection/>
    </xf>
    <xf numFmtId="171" fontId="0" fillId="18" borderId="1" xfId="20" applyNumberFormat="1" applyFill="1" applyBorder="1" applyAlignment="1">
      <alignment horizontal="right" vertical="center"/>
      <protection/>
    </xf>
    <xf numFmtId="171" fontId="0" fillId="0" borderId="1" xfId="20" applyNumberFormat="1" applyFont="1" applyBorder="1" applyAlignment="1">
      <alignment horizontal="right" vertical="center"/>
      <protection/>
    </xf>
    <xf numFmtId="171" fontId="0" fillId="18" borderId="1" xfId="20" applyNumberFormat="1" applyFont="1" applyFill="1" applyBorder="1" applyAlignment="1">
      <alignment horizontal="right" vertical="center"/>
      <protection/>
    </xf>
    <xf numFmtId="171" fontId="6" fillId="18" borderId="1" xfId="20" applyNumberFormat="1" applyFont="1" applyFill="1" applyBorder="1" applyAlignment="1">
      <alignment horizontal="right" vertical="center"/>
      <protection/>
    </xf>
    <xf numFmtId="0" fontId="0" fillId="24" borderId="1" xfId="20" applyFont="1" applyFill="1" applyBorder="1" applyAlignment="1">
      <alignment vertical="center"/>
      <protection/>
    </xf>
    <xf numFmtId="0" fontId="10" fillId="24" borderId="1" xfId="20" applyFont="1" applyFill="1" applyBorder="1" applyAlignment="1">
      <alignment horizontal="center" vertical="center"/>
      <protection/>
    </xf>
    <xf numFmtId="164" fontId="10" fillId="24" borderId="1" xfId="20" applyNumberFormat="1" applyFont="1" applyFill="1" applyBorder="1" applyAlignment="1">
      <alignment horizontal="center" vertical="center"/>
      <protection/>
    </xf>
    <xf numFmtId="164" fontId="3" fillId="24" borderId="1" xfId="20" applyNumberFormat="1" applyFont="1" applyFill="1" applyBorder="1" applyAlignment="1">
      <alignment horizontal="right" vertical="center"/>
      <protection/>
    </xf>
    <xf numFmtId="0" fontId="13" fillId="8" borderId="0" xfId="23" applyFont="1" applyFill="1" applyAlignment="1">
      <alignment vertical="center"/>
      <protection/>
    </xf>
    <xf numFmtId="0" fontId="13" fillId="0" borderId="0" xfId="23" applyFont="1" applyAlignment="1">
      <alignment vertical="center"/>
      <protection/>
    </xf>
    <xf numFmtId="171" fontId="0" fillId="17" borderId="1" xfId="20" applyNumberFormat="1" applyFill="1" applyBorder="1" applyAlignment="1">
      <alignment horizontal="right" vertical="center"/>
      <protection/>
    </xf>
    <xf numFmtId="171" fontId="0" fillId="19" borderId="1" xfId="20" applyNumberFormat="1" applyFill="1" applyBorder="1" applyAlignment="1">
      <alignment horizontal="right" vertical="center"/>
      <protection/>
    </xf>
    <xf numFmtId="171" fontId="0" fillId="19" borderId="1" xfId="20" applyNumberFormat="1" applyFont="1" applyFill="1" applyBorder="1" applyAlignment="1">
      <alignment horizontal="right" vertical="center"/>
      <protection/>
    </xf>
    <xf numFmtId="2" fontId="0" fillId="3" borderId="1" xfId="20" applyNumberFormat="1" applyFont="1" applyFill="1" applyBorder="1" applyAlignment="1">
      <alignment horizontal="center" vertical="center"/>
      <protection/>
    </xf>
    <xf numFmtId="2" fontId="0" fillId="8" borderId="1" xfId="20" applyNumberFormat="1" applyFont="1" applyFill="1" applyBorder="1" applyAlignment="1">
      <alignment horizontal="center" vertical="center"/>
      <protection/>
    </xf>
    <xf numFmtId="167" fontId="0" fillId="8" borderId="1" xfId="20" applyNumberFormat="1" applyFont="1" applyFill="1" applyBorder="1" applyAlignment="1">
      <alignment horizontal="center" vertical="center"/>
      <protection/>
    </xf>
    <xf numFmtId="0" fontId="0" fillId="8" borderId="1" xfId="20" applyFont="1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2" fillId="0" borderId="0" xfId="23" applyFont="1" applyAlignment="1">
      <alignment horizontal="right"/>
      <protection/>
    </xf>
    <xf numFmtId="49" fontId="2" fillId="0" borderId="0" xfId="20" applyNumberFormat="1" applyFont="1" applyAlignment="1">
      <alignment horizontal="right"/>
      <protection/>
    </xf>
    <xf numFmtId="0" fontId="0" fillId="0" borderId="1" xfId="20" applyFont="1" applyBorder="1" applyAlignment="1">
      <alignment horizontal="center" vertical="center"/>
      <protection/>
    </xf>
    <xf numFmtId="2" fontId="0" fillId="0" borderId="1" xfId="20" applyNumberForma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2" fillId="8" borderId="0" xfId="20" applyFont="1" applyFill="1" applyAlignment="1">
      <alignment vertical="center"/>
      <protection/>
    </xf>
    <xf numFmtId="164" fontId="0" fillId="0" borderId="1" xfId="20" applyNumberFormat="1" applyBorder="1" applyAlignment="1">
      <alignment horizontal="right" vertical="center"/>
      <protection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20" applyNumberFormat="1" applyBorder="1" applyAlignment="1">
      <alignment horizontal="center" vertical="center" wrapText="1"/>
      <protection/>
    </xf>
    <xf numFmtId="164" fontId="0" fillId="0" borderId="1" xfId="20" applyNumberFormat="1" applyBorder="1" applyAlignment="1">
      <alignment horizontal="right" vertical="center" wrapText="1"/>
      <protection/>
    </xf>
    <xf numFmtId="167" fontId="0" fillId="0" borderId="1" xfId="20" applyNumberFormat="1" applyBorder="1" applyAlignment="1">
      <alignment horizontal="center" vertical="center"/>
      <protection/>
    </xf>
    <xf numFmtId="166" fontId="0" fillId="0" borderId="1" xfId="20" applyNumberFormat="1" applyBorder="1" applyAlignment="1">
      <alignment horizontal="right" vertical="center"/>
      <protection/>
    </xf>
    <xf numFmtId="168" fontId="0" fillId="8" borderId="1" xfId="20" applyNumberFormat="1" applyFill="1" applyBorder="1" applyAlignment="1">
      <alignment horizontal="center" vertical="center"/>
      <protection/>
    </xf>
    <xf numFmtId="164" fontId="0" fillId="8" borderId="1" xfId="20" applyNumberFormat="1" applyFill="1" applyBorder="1" applyAlignment="1">
      <alignment horizontal="right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0" fillId="15" borderId="1" xfId="20" applyFill="1" applyBorder="1" applyAlignment="1">
      <alignment horizontal="center" vertical="center"/>
      <protection/>
    </xf>
    <xf numFmtId="164" fontId="0" fillId="15" borderId="1" xfId="20" applyNumberFormat="1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2" fontId="0" fillId="0" borderId="1" xfId="20" applyNumberFormat="1" applyFont="1" applyBorder="1" applyAlignment="1">
      <alignment horizontal="center" vertical="center" wrapText="1"/>
      <protection/>
    </xf>
    <xf numFmtId="164" fontId="0" fillId="0" borderId="1" xfId="20" applyNumberFormat="1" applyFont="1" applyBorder="1" applyAlignment="1">
      <alignment horizontal="right" vertical="center" wrapText="1"/>
      <protection/>
    </xf>
    <xf numFmtId="0" fontId="2" fillId="8" borderId="1" xfId="20" applyFont="1" applyFill="1" applyBorder="1" applyAlignment="1">
      <alignment vertical="center"/>
      <protection/>
    </xf>
    <xf numFmtId="0" fontId="0" fillId="25" borderId="1" xfId="20" applyFont="1" applyFill="1" applyBorder="1" applyAlignment="1">
      <alignment horizontal="center" vertical="center" wrapText="1"/>
      <protection/>
    </xf>
    <xf numFmtId="0" fontId="0" fillId="25" borderId="0" xfId="20" applyFont="1" applyFill="1" applyBorder="1">
      <alignment/>
      <protection/>
    </xf>
    <xf numFmtId="0" fontId="0" fillId="25" borderId="0" xfId="20" applyFont="1" applyFill="1">
      <alignment/>
      <protection/>
    </xf>
    <xf numFmtId="0" fontId="0" fillId="25" borderId="1" xfId="0" applyFont="1" applyFill="1" applyBorder="1" applyAlignment="1">
      <alignment horizontal="center" vertical="center"/>
    </xf>
    <xf numFmtId="0" fontId="0" fillId="25" borderId="1" xfId="20" applyFont="1" applyFill="1" applyBorder="1" applyAlignment="1">
      <alignment horizontal="center" vertical="center"/>
      <protection/>
    </xf>
    <xf numFmtId="164" fontId="0" fillId="25" borderId="1" xfId="20" applyNumberFormat="1" applyFont="1" applyFill="1" applyBorder="1" applyAlignment="1">
      <alignment horizontal="right" vertical="center"/>
      <protection/>
    </xf>
    <xf numFmtId="169" fontId="7" fillId="25" borderId="1" xfId="20" applyNumberFormat="1" applyFont="1" applyFill="1" applyBorder="1" applyAlignment="1">
      <alignment vertical="center"/>
      <protection/>
    </xf>
    <xf numFmtId="164" fontId="7" fillId="15" borderId="1" xfId="20" applyNumberFormat="1" applyFont="1" applyFill="1" applyBorder="1" applyAlignment="1">
      <alignment vertical="center"/>
      <protection/>
    </xf>
    <xf numFmtId="0" fontId="0" fillId="26" borderId="1" xfId="20" applyFill="1" applyBorder="1" applyAlignment="1">
      <alignment horizontal="center" vertical="center"/>
      <protection/>
    </xf>
    <xf numFmtId="0" fontId="0" fillId="27" borderId="1" xfId="20" applyFill="1" applyBorder="1" applyAlignment="1">
      <alignment horizontal="center" vertical="center"/>
      <protection/>
    </xf>
    <xf numFmtId="171" fontId="0" fillId="27" borderId="1" xfId="20" applyNumberFormat="1" applyFill="1" applyBorder="1" applyAlignment="1">
      <alignment horizontal="right" vertical="center"/>
      <protection/>
    </xf>
    <xf numFmtId="169" fontId="0" fillId="26" borderId="1" xfId="20" applyNumberFormat="1" applyFont="1" applyFill="1" applyBorder="1" applyAlignment="1">
      <alignment horizontal="right" vertical="center" wrapText="1"/>
      <protection/>
    </xf>
    <xf numFmtId="0" fontId="0" fillId="26" borderId="0" xfId="20" applyFont="1" applyFill="1" applyBorder="1">
      <alignment/>
      <protection/>
    </xf>
    <xf numFmtId="0" fontId="0" fillId="26" borderId="2" xfId="20" applyFont="1" applyFill="1" applyBorder="1">
      <alignment/>
      <protection/>
    </xf>
    <xf numFmtId="0" fontId="0" fillId="26" borderId="1" xfId="20" applyFont="1" applyFill="1" applyBorder="1">
      <alignment/>
      <protection/>
    </xf>
    <xf numFmtId="0" fontId="0" fillId="26" borderId="1" xfId="20" applyFont="1" applyFill="1" applyBorder="1" applyAlignment="1">
      <alignment horizontal="center" vertical="center"/>
      <protection/>
    </xf>
    <xf numFmtId="0" fontId="0" fillId="27" borderId="1" xfId="20" applyFont="1" applyFill="1" applyBorder="1" applyAlignment="1">
      <alignment horizontal="center" vertical="center"/>
      <protection/>
    </xf>
    <xf numFmtId="171" fontId="0" fillId="27" borderId="1" xfId="20" applyNumberFormat="1" applyFont="1" applyFill="1" applyBorder="1" applyAlignment="1">
      <alignment horizontal="right" vertical="center"/>
      <protection/>
    </xf>
    <xf numFmtId="171" fontId="0" fillId="26" borderId="1" xfId="20" applyNumberFormat="1" applyFill="1" applyBorder="1" applyAlignment="1">
      <alignment horizontal="right" vertical="center"/>
      <protection/>
    </xf>
    <xf numFmtId="0" fontId="0" fillId="26" borderId="1" xfId="20" applyFont="1" applyFill="1" applyBorder="1" applyAlignment="1">
      <alignment horizontal="center" vertical="center"/>
      <protection/>
    </xf>
    <xf numFmtId="168" fontId="0" fillId="26" borderId="1" xfId="20" applyNumberFormat="1" applyFont="1" applyFill="1" applyBorder="1" applyAlignment="1">
      <alignment horizontal="center" vertical="center"/>
      <protection/>
    </xf>
    <xf numFmtId="0" fontId="0" fillId="18" borderId="1" xfId="20" applyFont="1" applyFill="1" applyBorder="1" applyAlignment="1">
      <alignment horizontal="center" vertical="center"/>
      <protection/>
    </xf>
    <xf numFmtId="169" fontId="0" fillId="18" borderId="1" xfId="20" applyNumberFormat="1" applyFont="1" applyFill="1" applyBorder="1" applyAlignment="1">
      <alignment vertical="center"/>
      <protection/>
    </xf>
    <xf numFmtId="171" fontId="0" fillId="8" borderId="1" xfId="20" applyNumberFormat="1" applyFill="1" applyBorder="1" applyAlignment="1">
      <alignment horizontal="right" vertical="center"/>
      <protection/>
    </xf>
    <xf numFmtId="169" fontId="0" fillId="8" borderId="1" xfId="20" applyNumberFormat="1" applyFont="1" applyFill="1" applyBorder="1" applyAlignment="1">
      <alignment vertical="center"/>
      <protection/>
    </xf>
    <xf numFmtId="169" fontId="0" fillId="0" borderId="1" xfId="20" applyNumberFormat="1" applyFont="1" applyFill="1" applyBorder="1" applyAlignment="1">
      <alignment vertical="center"/>
      <protection/>
    </xf>
    <xf numFmtId="171" fontId="0" fillId="8" borderId="1" xfId="20" applyNumberFormat="1" applyFont="1" applyFill="1" applyBorder="1" applyAlignment="1">
      <alignment horizontal="right" vertical="center"/>
      <protection/>
    </xf>
    <xf numFmtId="169" fontId="7" fillId="24" borderId="1" xfId="20" applyNumberFormat="1" applyFont="1" applyFill="1" applyBorder="1" applyAlignment="1">
      <alignment vertical="center"/>
      <protection/>
    </xf>
    <xf numFmtId="164" fontId="3" fillId="0" borderId="1" xfId="20" applyNumberFormat="1" applyFont="1" applyBorder="1" applyAlignment="1">
      <alignment horizontal="right" vertical="center"/>
      <protection/>
    </xf>
    <xf numFmtId="169" fontId="15" fillId="12" borderId="1" xfId="23" applyNumberFormat="1" applyFont="1" applyFill="1" applyBorder="1" applyAlignment="1">
      <alignment horizontal="right" vertical="center"/>
      <protection/>
    </xf>
    <xf numFmtId="0" fontId="0" fillId="8" borderId="3" xfId="20" applyFont="1" applyFill="1" applyBorder="1" applyAlignment="1">
      <alignment horizontal="left" vertical="center" wrapText="1"/>
      <protection/>
    </xf>
    <xf numFmtId="0" fontId="0" fillId="8" borderId="2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15" fillId="0" borderId="0" xfId="23" applyFont="1" applyAlignment="1">
      <alignment wrapText="1"/>
      <protection/>
    </xf>
    <xf numFmtId="0" fontId="3" fillId="0" borderId="0" xfId="23" applyFont="1" applyAlignment="1">
      <alignment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3" applyFont="1" applyAlignment="1">
      <alignment wrapText="1"/>
      <protection/>
    </xf>
    <xf numFmtId="0" fontId="2" fillId="0" borderId="0" xfId="0" applyFont="1" applyAlignment="1">
      <alignment wrapText="1"/>
    </xf>
    <xf numFmtId="0" fontId="13" fillId="0" borderId="0" xfId="23" applyFont="1" applyAlignment="1">
      <alignment wrapText="1"/>
      <protection/>
    </xf>
    <xf numFmtId="0" fontId="16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7" fillId="0" borderId="0" xfId="20" applyFont="1" applyAlignment="1">
      <alignment horizontal="left" vertical="center" wrapText="1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12" fillId="0" borderId="0" xfId="23" applyFont="1" applyAlignment="1">
      <alignment wrapText="1"/>
      <protection/>
    </xf>
    <xf numFmtId="0" fontId="12" fillId="0" borderId="0" xfId="0" applyFont="1" applyAlignment="1">
      <alignment wrapText="1"/>
    </xf>
    <xf numFmtId="0" fontId="12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18" fillId="0" borderId="0" xfId="23" applyFont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vertical="center" wrapText="1"/>
    </xf>
    <xf numFmtId="0" fontId="0" fillId="0" borderId="0" xfId="20" applyFont="1" applyFill="1" applyAlignment="1">
      <alignment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2" fillId="8" borderId="1" xfId="20" applyFont="1" applyFill="1" applyBorder="1" applyAlignment="1">
      <alignment horizontal="center" vertical="center"/>
      <protection/>
    </xf>
    <xf numFmtId="0" fontId="3" fillId="3" borderId="0" xfId="20" applyFont="1" applyFill="1" applyAlignment="1">
      <alignment vertical="center"/>
      <protection/>
    </xf>
    <xf numFmtId="0" fontId="3" fillId="0" borderId="0" xfId="20" applyFont="1" applyAlignment="1">
      <alignment vertical="center"/>
      <protection/>
    </xf>
    <xf numFmtId="2" fontId="0" fillId="8" borderId="1" xfId="20" applyNumberFormat="1" applyFill="1" applyBorder="1" applyAlignment="1">
      <alignment horizontal="center" vertical="center"/>
      <protection/>
    </xf>
    <xf numFmtId="164" fontId="0" fillId="0" borderId="1" xfId="20" applyNumberFormat="1" applyBorder="1" applyAlignment="1">
      <alignment vertical="center"/>
      <protection/>
    </xf>
    <xf numFmtId="167" fontId="0" fillId="8" borderId="1" xfId="20" applyNumberFormat="1" applyFill="1" applyBorder="1" applyAlignment="1">
      <alignment horizontal="center" vertical="center"/>
      <protection/>
    </xf>
    <xf numFmtId="169" fontId="6" fillId="0" borderId="1" xfId="20" applyNumberFormat="1" applyFont="1" applyBorder="1" applyAlignment="1">
      <alignment horizontal="right" vertical="center" wrapText="1"/>
      <protection/>
    </xf>
    <xf numFmtId="0" fontId="0" fillId="8" borderId="0" xfId="20" applyFill="1">
      <alignment/>
      <protection/>
    </xf>
    <xf numFmtId="169" fontId="0" fillId="0" borderId="1" xfId="20" applyNumberFormat="1" applyBorder="1" applyAlignment="1">
      <alignment horizontal="right" vertical="center" wrapText="1"/>
      <protection/>
    </xf>
    <xf numFmtId="0" fontId="6" fillId="8" borderId="1" xfId="20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0" fontId="0" fillId="13" borderId="1" xfId="20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7" fillId="13" borderId="4" xfId="20" applyFont="1" applyFill="1" applyBorder="1" applyAlignment="1">
      <alignment horizontal="center" vertical="center"/>
      <protection/>
    </xf>
    <xf numFmtId="0" fontId="7" fillId="13" borderId="5" xfId="20" applyFont="1" applyFill="1" applyBorder="1" applyAlignment="1">
      <alignment horizontal="center" vertical="center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9" fontId="5" fillId="0" borderId="1" xfId="20" applyNumberFormat="1" applyFont="1" applyBorder="1" applyAlignment="1">
      <alignment horizontal="center" vertical="center" wrapText="1"/>
      <protection/>
    </xf>
    <xf numFmtId="0" fontId="7" fillId="8" borderId="1" xfId="20" applyFont="1" applyFill="1" applyBorder="1" applyAlignment="1">
      <alignment vertical="center"/>
      <protection/>
    </xf>
    <xf numFmtId="0" fontId="7" fillId="15" borderId="1" xfId="20" applyFont="1" applyFill="1" applyBorder="1" applyAlignment="1">
      <alignment vertical="center" wrapText="1"/>
      <protection/>
    </xf>
    <xf numFmtId="0" fontId="3" fillId="24" borderId="3" xfId="20" applyFont="1" applyFill="1" applyBorder="1" applyAlignment="1">
      <alignment horizontal="left" vertical="center"/>
      <protection/>
    </xf>
    <xf numFmtId="0" fontId="3" fillId="24" borderId="6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15" fillId="0" borderId="1" xfId="23" applyFont="1" applyBorder="1" applyAlignment="1">
      <alignment horizontal="left" vertical="center"/>
      <protection/>
    </xf>
    <xf numFmtId="0" fontId="15" fillId="12" borderId="1" xfId="23" applyFont="1" applyFill="1" applyBorder="1" applyAlignment="1">
      <alignment horizontal="left" vertical="center"/>
      <protection/>
    </xf>
    <xf numFmtId="0" fontId="8" fillId="7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horizontal="left" vertical="center"/>
      <protection/>
    </xf>
    <xf numFmtId="0" fontId="0" fillId="13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9" fontId="5" fillId="0" borderId="1" xfId="20" applyNumberFormat="1" applyFont="1" applyFill="1" applyBorder="1" applyAlignment="1">
      <alignment horizontal="center" vertical="center" wrapText="1"/>
      <protection/>
    </xf>
    <xf numFmtId="0" fontId="7" fillId="14" borderId="1" xfId="20" applyFont="1" applyFill="1" applyBorder="1" applyAlignment="1">
      <alignment horizontal="left" vertical="center" wrapText="1"/>
      <protection/>
    </xf>
    <xf numFmtId="0" fontId="7" fillId="7" borderId="1" xfId="20" applyFont="1" applyFill="1" applyBorder="1" applyAlignment="1">
      <alignment vertical="center"/>
      <protection/>
    </xf>
    <xf numFmtId="0" fontId="3" fillId="21" borderId="3" xfId="23" applyFont="1" applyFill="1" applyBorder="1" applyAlignment="1">
      <alignment horizontal="left" vertical="center"/>
      <protection/>
    </xf>
    <xf numFmtId="0" fontId="3" fillId="21" borderId="6" xfId="23" applyFont="1" applyFill="1" applyBorder="1" applyAlignment="1">
      <alignment horizontal="left" vertical="center"/>
      <protection/>
    </xf>
    <xf numFmtId="0" fontId="3" fillId="22" borderId="3" xfId="23" applyFont="1" applyFill="1" applyBorder="1" applyAlignment="1">
      <alignment horizontal="left" vertical="center"/>
      <protection/>
    </xf>
    <xf numFmtId="0" fontId="3" fillId="22" borderId="6" xfId="23" applyFont="1" applyFill="1" applyBorder="1" applyAlignment="1">
      <alignment horizontal="left" vertical="center"/>
      <protection/>
    </xf>
    <xf numFmtId="0" fontId="3" fillId="9" borderId="3" xfId="23" applyFont="1" applyFill="1" applyBorder="1" applyAlignment="1">
      <alignment horizontal="left" vertical="center"/>
      <protection/>
    </xf>
    <xf numFmtId="0" fontId="3" fillId="9" borderId="6" xfId="23" applyFont="1" applyFill="1" applyBorder="1" applyAlignment="1">
      <alignment horizontal="left" vertical="center"/>
      <protection/>
    </xf>
    <xf numFmtId="0" fontId="3" fillId="23" borderId="3" xfId="20" applyFont="1" applyFill="1" applyBorder="1" applyAlignment="1">
      <alignment horizontal="left" vertical="center"/>
      <protection/>
    </xf>
    <xf numFmtId="0" fontId="3" fillId="23" borderId="6" xfId="20" applyFont="1" applyFill="1" applyBorder="1" applyAlignment="1">
      <alignment horizontal="left" vertical="center"/>
      <protection/>
    </xf>
    <xf numFmtId="0" fontId="8" fillId="8" borderId="1" xfId="20" applyFont="1" applyFill="1" applyBorder="1" applyAlignment="1">
      <alignment horizontal="left" vertical="center"/>
      <protection/>
    </xf>
    <xf numFmtId="0" fontId="7" fillId="14" borderId="1" xfId="20" applyFont="1" applyFill="1" applyBorder="1" applyAlignment="1">
      <alignment vertical="center" wrapText="1"/>
      <protection/>
    </xf>
    <xf numFmtId="0" fontId="8" fillId="0" borderId="1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0" fontId="0" fillId="3" borderId="1" xfId="20" applyFont="1" applyFill="1" applyBorder="1" applyAlignment="1">
      <alignment horizontal="left" vertical="center" wrapText="1"/>
      <protection/>
    </xf>
    <xf numFmtId="0" fontId="0" fillId="3" borderId="3" xfId="20" applyFont="1" applyFill="1" applyBorder="1" applyAlignment="1">
      <alignment horizontal="left" vertical="center" wrapText="1"/>
      <protection/>
    </xf>
    <xf numFmtId="0" fontId="0" fillId="3" borderId="2" xfId="20" applyFont="1" applyFill="1" applyBorder="1" applyAlignment="1">
      <alignment horizontal="left" vertical="center" wrapText="1"/>
      <protection/>
    </xf>
    <xf numFmtId="0" fontId="7" fillId="11" borderId="1" xfId="20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vertical="center"/>
      <protection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0" fillId="3" borderId="1" xfId="0" applyFont="1" applyFill="1" applyBorder="1" applyAlignment="1">
      <alignment vertical="center" wrapText="1"/>
    </xf>
    <xf numFmtId="0" fontId="0" fillId="3" borderId="1" xfId="20" applyFont="1" applyFill="1" applyBorder="1" applyAlignment="1">
      <alignment horizontal="left" vertical="center" wrapText="1"/>
      <protection/>
    </xf>
    <xf numFmtId="0" fontId="0" fillId="8" borderId="1" xfId="20" applyFont="1" applyFill="1" applyBorder="1" applyAlignment="1">
      <alignment horizontal="left" vertical="center" wrapText="1"/>
      <protection/>
    </xf>
    <xf numFmtId="0" fontId="0" fillId="8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4" fontId="0" fillId="0" borderId="1" xfId="0" applyNumberFormat="1" applyFont="1" applyBorder="1" applyAlignment="1">
      <alignment vertical="center" wrapText="1"/>
    </xf>
    <xf numFmtId="0" fontId="7" fillId="0" borderId="1" xfId="20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11" borderId="1" xfId="20" applyFont="1" applyFill="1" applyBorder="1" applyAlignment="1">
      <alignment horizontal="left" vertical="center" wrapText="1"/>
      <protection/>
    </xf>
    <xf numFmtId="0" fontId="0" fillId="3" borderId="1" xfId="0" applyFill="1" applyBorder="1" applyAlignment="1">
      <alignment horizontal="left" vertical="center" wrapText="1"/>
    </xf>
    <xf numFmtId="0" fontId="6" fillId="8" borderId="1" xfId="20" applyFont="1" applyFill="1" applyBorder="1" applyAlignment="1">
      <alignment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0" fillId="8" borderId="1" xfId="20" applyFill="1" applyBorder="1" applyAlignment="1">
      <alignment horizontal="left"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Border="1" applyAlignment="1">
      <alignment vertical="center" wrapText="1"/>
      <protection/>
    </xf>
    <xf numFmtId="0" fontId="8" fillId="16" borderId="3" xfId="20" applyFont="1" applyFill="1" applyBorder="1" applyAlignment="1">
      <alignment horizontal="left" vertical="center"/>
      <protection/>
    </xf>
    <xf numFmtId="0" fontId="8" fillId="16" borderId="6" xfId="20" applyFont="1" applyFill="1" applyBorder="1" applyAlignment="1">
      <alignment horizontal="left" vertical="center"/>
      <protection/>
    </xf>
    <xf numFmtId="0" fontId="8" fillId="16" borderId="2" xfId="20" applyFont="1" applyFill="1" applyBorder="1" applyAlignment="1">
      <alignment horizontal="left" vertical="center"/>
      <protection/>
    </xf>
    <xf numFmtId="0" fontId="7" fillId="25" borderId="3" xfId="0" applyFont="1" applyFill="1" applyBorder="1" applyAlignment="1">
      <alignment horizontal="left" vertical="center"/>
    </xf>
    <xf numFmtId="0" fontId="7" fillId="25" borderId="6" xfId="0" applyFont="1" applyFill="1" applyBorder="1" applyAlignment="1">
      <alignment horizontal="left" vertical="center"/>
    </xf>
    <xf numFmtId="0" fontId="7" fillId="25" borderId="2" xfId="0" applyFont="1" applyFill="1" applyBorder="1" applyAlignment="1">
      <alignment horizontal="left" vertical="center"/>
    </xf>
    <xf numFmtId="0" fontId="0" fillId="0" borderId="1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7" fillId="25" borderId="1" xfId="0" applyFont="1" applyFill="1" applyBorder="1" applyAlignment="1">
      <alignment horizontal="left" vertical="center" wrapText="1"/>
    </xf>
    <xf numFmtId="0" fontId="7" fillId="28" borderId="1" xfId="0" applyFont="1" applyFill="1" applyBorder="1" applyAlignment="1">
      <alignment horizontal="left" vertical="center"/>
    </xf>
    <xf numFmtId="0" fontId="7" fillId="5" borderId="1" xfId="20" applyFont="1" applyFill="1" applyBorder="1" applyAlignment="1">
      <alignment horizontal="left" vertical="center"/>
      <protection/>
    </xf>
    <xf numFmtId="0" fontId="0" fillId="8" borderId="1" xfId="20" applyFont="1" applyFill="1" applyBorder="1" applyAlignment="1">
      <alignment vertical="center" wrapText="1"/>
      <protection/>
    </xf>
    <xf numFmtId="0" fontId="0" fillId="8" borderId="1" xfId="20" applyFont="1" applyFill="1" applyBorder="1" applyAlignment="1">
      <alignment vertical="center" wrapText="1"/>
      <protection/>
    </xf>
    <xf numFmtId="0" fontId="0" fillId="27" borderId="1" xfId="20" applyFont="1" applyFill="1" applyBorder="1" applyAlignment="1">
      <alignment horizontal="left" vertical="center" wrapText="1"/>
      <protection/>
    </xf>
    <xf numFmtId="0" fontId="0" fillId="27" borderId="1" xfId="20" applyFill="1" applyBorder="1" applyAlignment="1">
      <alignment horizontal="left" vertical="center" wrapText="1"/>
      <protection/>
    </xf>
    <xf numFmtId="0" fontId="0" fillId="19" borderId="1" xfId="20" applyFont="1" applyFill="1" applyBorder="1" applyAlignment="1">
      <alignment horizontal="left" vertical="center" wrapText="1"/>
      <protection/>
    </xf>
    <xf numFmtId="0" fontId="0" fillId="19" borderId="1" xfId="20" applyFill="1" applyBorder="1" applyAlignment="1">
      <alignment horizontal="left" vertical="center" wrapText="1"/>
      <protection/>
    </xf>
    <xf numFmtId="0" fontId="7" fillId="8" borderId="6" xfId="20" applyFont="1" applyFill="1" applyBorder="1" applyAlignment="1">
      <alignment horizontal="left" vertical="center"/>
      <protection/>
    </xf>
    <xf numFmtId="0" fontId="7" fillId="8" borderId="2" xfId="20" applyFont="1" applyFill="1" applyBorder="1" applyAlignment="1">
      <alignment horizontal="left" vertical="center"/>
      <protection/>
    </xf>
    <xf numFmtId="0" fontId="0" fillId="17" borderId="1" xfId="20" applyFill="1" applyBorder="1" applyAlignment="1">
      <alignment horizontal="left" vertical="center" wrapText="1"/>
      <protection/>
    </xf>
    <xf numFmtId="0" fontId="7" fillId="12" borderId="1" xfId="20" applyFont="1" applyFill="1" applyBorder="1" applyAlignment="1">
      <alignment horizontal="left" vertical="center" wrapText="1"/>
      <protection/>
    </xf>
    <xf numFmtId="0" fontId="7" fillId="8" borderId="1" xfId="20" applyFont="1" applyFill="1" applyBorder="1" applyAlignment="1">
      <alignment horizontal="left" vertical="center"/>
      <protection/>
    </xf>
    <xf numFmtId="0" fontId="0" fillId="26" borderId="1" xfId="20" applyFill="1" applyBorder="1" applyAlignment="1">
      <alignment horizontal="left" vertical="center" wrapText="1"/>
      <protection/>
    </xf>
    <xf numFmtId="0" fontId="7" fillId="8" borderId="3" xfId="20" applyFont="1" applyFill="1" applyBorder="1" applyAlignment="1">
      <alignment horizontal="left" vertical="center"/>
      <protection/>
    </xf>
    <xf numFmtId="0" fontId="6" fillId="0" borderId="1" xfId="20" applyFont="1" applyBorder="1" applyAlignment="1">
      <alignment vertical="center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8" borderId="3" xfId="20" applyFont="1" applyFill="1" applyBorder="1" applyAlignment="1">
      <alignment horizontal="left" vertical="center" wrapText="1"/>
      <protection/>
    </xf>
    <xf numFmtId="0" fontId="0" fillId="8" borderId="2" xfId="20" applyFont="1" applyFill="1" applyBorder="1" applyAlignment="1">
      <alignment horizontal="left" vertical="center" wrapText="1"/>
      <protection/>
    </xf>
    <xf numFmtId="0" fontId="0" fillId="18" borderId="1" xfId="20" applyFont="1" applyFill="1" applyBorder="1" applyAlignment="1">
      <alignment horizontal="left" vertical="center" wrapText="1"/>
      <protection/>
    </xf>
    <xf numFmtId="0" fontId="0" fillId="18" borderId="1" xfId="20" applyFill="1" applyBorder="1" applyAlignment="1">
      <alignment horizontal="left" vertical="center" wrapText="1"/>
      <protection/>
    </xf>
    <xf numFmtId="0" fontId="7" fillId="24" borderId="1" xfId="20" applyFont="1" applyFill="1" applyBorder="1" applyAlignment="1">
      <alignment horizontal="left" vertical="center"/>
      <protection/>
    </xf>
    <xf numFmtId="0" fontId="7" fillId="24" borderId="1" xfId="20" applyFont="1" applyFill="1" applyBorder="1" applyAlignment="1">
      <alignment horizontal="left" vertical="center" wrapText="1"/>
      <protection/>
    </xf>
    <xf numFmtId="0" fontId="14" fillId="0" borderId="0" xfId="20" applyFont="1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50AA-A3A0-4578-8034-CEF53A0F5224}">
  <sheetPr>
    <pageSetUpPr fitToPage="1"/>
  </sheetPr>
  <dimension ref="A1:GF233"/>
  <sheetViews>
    <sheetView tabSelected="1" view="pageBreakPreview" zoomScale="75" zoomScaleSheetLayoutView="75" workbookViewId="0" topLeftCell="A26">
      <selection activeCell="K220" sqref="K220"/>
    </sheetView>
  </sheetViews>
  <sheetFormatPr defaultColWidth="9.140625" defaultRowHeight="12.75"/>
  <cols>
    <col min="1" max="1" width="14.140625" style="3" customWidth="1"/>
    <col min="2" max="2" width="47.140625" style="252" customWidth="1"/>
    <col min="3" max="3" width="62.57421875" style="252" customWidth="1"/>
    <col min="4" max="4" width="14.00390625" style="16" customWidth="1"/>
    <col min="5" max="5" width="13.140625" style="3" customWidth="1"/>
    <col min="6" max="6" width="20.7109375" style="4" customWidth="1"/>
    <col min="7" max="7" width="21.28125" style="77" customWidth="1"/>
    <col min="8" max="10" width="9.140625" style="59" customWidth="1"/>
    <col min="11" max="103" width="9.140625" style="88" customWidth="1"/>
    <col min="104" max="16384" width="9.140625" style="2" customWidth="1"/>
  </cols>
  <sheetData>
    <row r="1" spans="1:103" ht="24.95" customHeight="1">
      <c r="A1" s="127"/>
      <c r="B1" s="237"/>
      <c r="C1" s="237"/>
      <c r="D1" s="127"/>
      <c r="E1" s="127"/>
      <c r="F1" s="127"/>
      <c r="G1" s="12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24.95" customHeight="1">
      <c r="A2" s="127"/>
      <c r="B2" s="237"/>
      <c r="C2" s="237"/>
      <c r="D2" s="127"/>
      <c r="E2" s="127"/>
      <c r="F2" s="127"/>
      <c r="G2" s="128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24.95" customHeight="1">
      <c r="A3" s="127"/>
      <c r="B3" s="238" t="s">
        <v>83</v>
      </c>
      <c r="C3" s="239" t="s">
        <v>240</v>
      </c>
      <c r="D3" s="145"/>
      <c r="E3" s="145"/>
      <c r="F3" s="145"/>
      <c r="G3" s="130"/>
      <c r="H3" s="129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24.95" customHeight="1">
      <c r="A4" s="127"/>
      <c r="B4" s="240"/>
      <c r="C4" s="240"/>
      <c r="D4" s="131"/>
      <c r="E4" s="131"/>
      <c r="F4" s="131"/>
      <c r="G4" s="128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ht="24.95" customHeight="1">
      <c r="A5" s="127"/>
      <c r="B5" s="238" t="s">
        <v>84</v>
      </c>
      <c r="C5" s="241" t="s">
        <v>150</v>
      </c>
      <c r="D5" s="145"/>
      <c r="E5" s="145"/>
      <c r="F5" s="145"/>
      <c r="G5" s="130"/>
      <c r="H5" s="129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24.95" customHeight="1">
      <c r="A6" s="127"/>
      <c r="B6" s="240"/>
      <c r="C6" s="240"/>
      <c r="D6" s="131"/>
      <c r="E6" s="131"/>
      <c r="F6" s="131"/>
      <c r="G6" s="128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24.95" customHeight="1">
      <c r="A7" s="127"/>
      <c r="B7" s="238" t="s">
        <v>85</v>
      </c>
      <c r="C7" s="242" t="s">
        <v>146</v>
      </c>
      <c r="D7" s="145"/>
      <c r="E7" s="182" t="s">
        <v>86</v>
      </c>
      <c r="F7" s="183" t="s">
        <v>149</v>
      </c>
      <c r="G7" s="130"/>
      <c r="H7" s="129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24.95" customHeight="1">
      <c r="A8" s="127"/>
      <c r="B8" s="243"/>
      <c r="C8" s="242" t="s">
        <v>147</v>
      </c>
      <c r="D8" s="145"/>
      <c r="E8" s="145"/>
      <c r="F8" s="145"/>
      <c r="G8" s="130"/>
      <c r="H8" s="129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24.95" customHeight="1">
      <c r="A9" s="127"/>
      <c r="B9" s="243"/>
      <c r="C9" s="242" t="s">
        <v>148</v>
      </c>
      <c r="D9" s="145"/>
      <c r="E9" s="145"/>
      <c r="F9" s="145"/>
      <c r="G9" s="130"/>
      <c r="H9" s="129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24.95" customHeight="1">
      <c r="A10" s="127"/>
      <c r="B10" s="243"/>
      <c r="C10" s="241"/>
      <c r="D10" s="145"/>
      <c r="E10" s="145"/>
      <c r="F10" s="145"/>
      <c r="G10" s="130"/>
      <c r="H10" s="129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24.95" customHeight="1">
      <c r="A11" s="127"/>
      <c r="B11" s="240"/>
      <c r="C11" s="240"/>
      <c r="D11" s="131"/>
      <c r="E11" s="131"/>
      <c r="F11" s="131"/>
      <c r="G11" s="128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24.95" customHeight="1">
      <c r="A12" s="127"/>
      <c r="B12" s="238" t="s">
        <v>87</v>
      </c>
      <c r="C12" s="241"/>
      <c r="D12" s="145"/>
      <c r="E12" s="145"/>
      <c r="F12" s="145"/>
      <c r="G12" s="130"/>
      <c r="H12" s="129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24.95" customHeight="1">
      <c r="A13" s="127"/>
      <c r="B13" s="240"/>
      <c r="C13" s="240"/>
      <c r="D13" s="131"/>
      <c r="E13" s="131"/>
      <c r="F13" s="131"/>
      <c r="G13" s="128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24.95" customHeight="1">
      <c r="A14" s="127"/>
      <c r="B14" s="240"/>
      <c r="C14" s="240"/>
      <c r="D14" s="131"/>
      <c r="E14" s="131"/>
      <c r="F14" s="131"/>
      <c r="G14" s="128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24.95" customHeight="1">
      <c r="A15" s="127"/>
      <c r="B15" s="240"/>
      <c r="C15" s="240"/>
      <c r="D15" s="131"/>
      <c r="E15" s="131"/>
      <c r="F15" s="131"/>
      <c r="G15" s="128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24.95" customHeight="1">
      <c r="A16" s="127"/>
      <c r="B16" s="240"/>
      <c r="C16" s="240"/>
      <c r="D16" s="131"/>
      <c r="E16" s="131"/>
      <c r="F16" s="131"/>
      <c r="G16" s="128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24.95" customHeight="1">
      <c r="A17" s="127"/>
      <c r="B17" s="238" t="s">
        <v>88</v>
      </c>
      <c r="C17" s="243" t="s">
        <v>89</v>
      </c>
      <c r="D17" s="129"/>
      <c r="E17" s="129"/>
      <c r="F17" s="129"/>
      <c r="G17" s="130"/>
      <c r="H17" s="129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24.95" customHeight="1">
      <c r="A18" s="127"/>
      <c r="B18" s="243"/>
      <c r="C18" s="243" t="s">
        <v>90</v>
      </c>
      <c r="D18" s="129"/>
      <c r="E18" s="129"/>
      <c r="F18" s="129"/>
      <c r="G18" s="130"/>
      <c r="H18" s="129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24.95" customHeight="1">
      <c r="A19" s="127"/>
      <c r="B19" s="243"/>
      <c r="C19" s="243" t="s">
        <v>91</v>
      </c>
      <c r="D19" s="129"/>
      <c r="E19" s="129"/>
      <c r="F19" s="129"/>
      <c r="G19" s="130"/>
      <c r="H19" s="129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24.95" customHeight="1">
      <c r="A20" s="127"/>
      <c r="B20" s="243"/>
      <c r="C20" s="243" t="s">
        <v>92</v>
      </c>
      <c r="D20" s="129"/>
      <c r="E20" s="129"/>
      <c r="F20" s="129"/>
      <c r="G20" s="130"/>
      <c r="H20" s="129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24.95" customHeight="1">
      <c r="A21" s="127"/>
      <c r="B21" s="243"/>
      <c r="C21" s="243" t="s">
        <v>93</v>
      </c>
      <c r="D21" s="129"/>
      <c r="E21" s="129"/>
      <c r="F21" s="129"/>
      <c r="G21" s="130"/>
      <c r="H21" s="129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24.95" customHeight="1">
      <c r="A22" s="127"/>
      <c r="B22" s="240"/>
      <c r="C22" s="240"/>
      <c r="D22" s="131"/>
      <c r="E22" s="131"/>
      <c r="F22" s="131"/>
      <c r="G22" s="128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24.95" customHeight="1">
      <c r="A23" s="127"/>
      <c r="B23" s="238" t="s">
        <v>94</v>
      </c>
      <c r="C23" s="241" t="s">
        <v>95</v>
      </c>
      <c r="D23" s="131"/>
      <c r="E23" s="131"/>
      <c r="F23" s="131"/>
      <c r="G23" s="128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24.95" customHeight="1">
      <c r="A24" s="127"/>
      <c r="B24" s="240"/>
      <c r="C24" s="240"/>
      <c r="D24" s="131"/>
      <c r="E24" s="131"/>
      <c r="F24" s="131"/>
      <c r="G24" s="128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24.95" customHeight="1">
      <c r="A25" s="127"/>
      <c r="B25" s="244"/>
      <c r="C25" s="245"/>
      <c r="D25" s="132"/>
      <c r="E25" s="134"/>
      <c r="F25" s="133"/>
      <c r="G25" s="135"/>
      <c r="H25" s="129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ht="35.1" customHeight="1">
      <c r="A26" s="136"/>
      <c r="B26" s="281" t="s">
        <v>96</v>
      </c>
      <c r="C26" s="281"/>
      <c r="D26" s="281"/>
      <c r="E26" s="281"/>
      <c r="F26" s="138">
        <f>SUM(F51)</f>
        <v>0</v>
      </c>
      <c r="G26" s="135"/>
      <c r="H26" s="129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26.25" customHeight="1">
      <c r="A27" s="139"/>
      <c r="B27" s="246"/>
      <c r="C27" s="246"/>
      <c r="D27" s="140"/>
      <c r="E27" s="140"/>
      <c r="F27" s="140"/>
      <c r="G27" s="14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24.95" customHeight="1">
      <c r="A28" s="142"/>
      <c r="B28" s="247"/>
      <c r="C28" s="247"/>
      <c r="D28" s="2"/>
      <c r="E28" s="2"/>
      <c r="F28" s="2"/>
      <c r="G28" s="143"/>
      <c r="H28" s="137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24.95" customHeight="1">
      <c r="A29" s="127"/>
      <c r="B29" s="237"/>
      <c r="C29" s="237"/>
      <c r="D29" s="127"/>
      <c r="E29" s="127"/>
      <c r="F29" s="127"/>
      <c r="G29" s="128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24.95" customHeight="1">
      <c r="A30" s="127"/>
      <c r="B30" s="237"/>
      <c r="C30" s="237"/>
      <c r="D30" s="127"/>
      <c r="E30" s="127"/>
      <c r="F30" s="127"/>
      <c r="G30" s="128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24.95" customHeight="1">
      <c r="A31" s="127"/>
      <c r="B31" s="243" t="s">
        <v>83</v>
      </c>
      <c r="C31" s="239" t="s">
        <v>240</v>
      </c>
      <c r="D31" s="129"/>
      <c r="E31" s="129"/>
      <c r="F31" s="129"/>
      <c r="G31" s="130"/>
      <c r="H31" s="129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24.95" customHeight="1">
      <c r="A32" s="127"/>
      <c r="B32" s="237"/>
      <c r="C32" s="237"/>
      <c r="D32" s="127"/>
      <c r="E32" s="127"/>
      <c r="F32" s="127"/>
      <c r="G32" s="128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24.95" customHeight="1">
      <c r="A33" s="127"/>
      <c r="B33" s="248" t="s">
        <v>97</v>
      </c>
      <c r="C33" s="243"/>
      <c r="D33" s="129"/>
      <c r="E33" s="129"/>
      <c r="F33" s="129"/>
      <c r="G33" s="130"/>
      <c r="H33" s="129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ht="24.95" customHeight="1">
      <c r="A34" s="127"/>
      <c r="B34" s="237"/>
      <c r="C34" s="237"/>
      <c r="D34" s="127"/>
      <c r="E34" s="127"/>
      <c r="F34" s="127"/>
      <c r="G34" s="128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103" ht="24.95" customHeight="1">
      <c r="A35" s="127"/>
      <c r="B35" s="292" t="s">
        <v>0</v>
      </c>
      <c r="C35" s="293"/>
      <c r="D35" s="293"/>
      <c r="E35" s="293"/>
      <c r="F35" s="156">
        <f>SUM(G80)</f>
        <v>0</v>
      </c>
      <c r="G35" s="144"/>
      <c r="H35" s="145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" s="34" customFormat="1" ht="24.95" customHeight="1">
      <c r="A36" s="146"/>
      <c r="B36" s="249"/>
      <c r="C36" s="250"/>
      <c r="D36" s="147"/>
      <c r="E36" s="147"/>
      <c r="F36" s="147"/>
      <c r="G36" s="148"/>
      <c r="H36" s="147"/>
      <c r="I36" s="149"/>
      <c r="J36" s="149"/>
    </row>
    <row r="37" spans="1:103" ht="24.95" customHeight="1">
      <c r="A37" s="127"/>
      <c r="B37" s="294" t="s">
        <v>48</v>
      </c>
      <c r="C37" s="295"/>
      <c r="D37" s="295"/>
      <c r="E37" s="295"/>
      <c r="F37" s="157">
        <f>SUM(G140)</f>
        <v>0</v>
      </c>
      <c r="G37" s="144"/>
      <c r="H37" s="145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0" s="34" customFormat="1" ht="24.95" customHeight="1">
      <c r="A38" s="146"/>
      <c r="B38" s="249"/>
      <c r="C38" s="249"/>
      <c r="D38" s="147"/>
      <c r="E38" s="147"/>
      <c r="F38" s="147"/>
      <c r="G38" s="148"/>
      <c r="H38" s="147"/>
      <c r="I38" s="149"/>
      <c r="J38" s="149"/>
    </row>
    <row r="39" spans="1:103" ht="24.95" customHeight="1">
      <c r="A39" s="127"/>
      <c r="B39" s="296" t="s">
        <v>224</v>
      </c>
      <c r="C39" s="297"/>
      <c r="D39" s="297"/>
      <c r="E39" s="297"/>
      <c r="F39" s="159">
        <f>SUM(G166)</f>
        <v>0</v>
      </c>
      <c r="G39" s="128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1:10" s="34" customFormat="1" ht="24.95" customHeight="1">
      <c r="A40" s="146"/>
      <c r="B40" s="249"/>
      <c r="C40" s="249"/>
      <c r="D40" s="147"/>
      <c r="E40" s="147"/>
      <c r="F40" s="147"/>
      <c r="G40" s="148"/>
      <c r="H40" s="147"/>
      <c r="I40" s="149"/>
      <c r="J40" s="149"/>
    </row>
    <row r="41" spans="1:103" ht="24.95" customHeight="1">
      <c r="A41" s="127"/>
      <c r="B41" s="298" t="s">
        <v>102</v>
      </c>
      <c r="C41" s="299"/>
      <c r="D41" s="299"/>
      <c r="E41" s="299"/>
      <c r="F41" s="160">
        <f>SUM(G213)</f>
        <v>0</v>
      </c>
      <c r="G41" s="128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103" ht="24.95" customHeight="1">
      <c r="A42" s="127"/>
      <c r="B42" s="241"/>
      <c r="C42" s="241"/>
      <c r="D42" s="145"/>
      <c r="E42" s="145"/>
      <c r="F42" s="145"/>
      <c r="G42" s="144"/>
      <c r="H42" s="145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3" ht="24.95" customHeight="1">
      <c r="A43" s="127"/>
      <c r="B43" s="277" t="s">
        <v>109</v>
      </c>
      <c r="C43" s="278"/>
      <c r="D43" s="278"/>
      <c r="E43" s="278"/>
      <c r="F43" s="171">
        <f>SUM(G231)</f>
        <v>0</v>
      </c>
      <c r="G43" s="128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1:10" s="34" customFormat="1" ht="24.95" customHeight="1">
      <c r="A44" s="146"/>
      <c r="B44" s="251"/>
      <c r="C44" s="251"/>
      <c r="D44" s="150"/>
      <c r="E44" s="151"/>
      <c r="F44" s="152"/>
      <c r="G44" s="153"/>
      <c r="H44" s="149"/>
      <c r="I44" s="149"/>
      <c r="J44" s="149"/>
    </row>
    <row r="45" spans="1:10" s="34" customFormat="1" ht="24.95" customHeight="1">
      <c r="A45" s="146"/>
      <c r="B45" s="279" t="s">
        <v>110</v>
      </c>
      <c r="C45" s="279"/>
      <c r="D45" s="279"/>
      <c r="E45" s="279"/>
      <c r="F45" s="232">
        <v>0</v>
      </c>
      <c r="G45" s="153"/>
      <c r="H45" s="149"/>
      <c r="I45" s="149"/>
      <c r="J45" s="149"/>
    </row>
    <row r="46" spans="1:103" ht="24.95" customHeight="1">
      <c r="A46" s="127"/>
      <c r="D46" s="142"/>
      <c r="G46" s="128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7" s="1" customFormat="1" ht="24.95" customHeight="1">
      <c r="A47" s="127"/>
      <c r="B47" s="280" t="s">
        <v>98</v>
      </c>
      <c r="C47" s="280"/>
      <c r="D47" s="280"/>
      <c r="E47" s="280"/>
      <c r="F47" s="232">
        <f>SUM(F35,F37,F39,F41,F43,F45)</f>
        <v>0</v>
      </c>
      <c r="G47" s="128"/>
    </row>
    <row r="48" spans="1:103" ht="24.95" customHeight="1">
      <c r="A48" s="127"/>
      <c r="B48" s="237"/>
      <c r="C48" s="237"/>
      <c r="D48" s="127"/>
      <c r="E48" s="127"/>
      <c r="F48" s="127"/>
      <c r="G48" s="130"/>
      <c r="H48" s="129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1:8" s="1" customFormat="1" ht="24.95" customHeight="1">
      <c r="A49" s="127"/>
      <c r="B49" s="280" t="s">
        <v>99</v>
      </c>
      <c r="C49" s="280"/>
      <c r="D49" s="280"/>
      <c r="E49" s="280"/>
      <c r="F49" s="232">
        <f>F47*1.21-F47</f>
        <v>0</v>
      </c>
      <c r="G49" s="172"/>
      <c r="H49" s="173"/>
    </row>
    <row r="50" spans="1:103" ht="24.95" customHeight="1">
      <c r="A50" s="127"/>
      <c r="B50" s="237"/>
      <c r="C50" s="237"/>
      <c r="D50" s="127"/>
      <c r="E50" s="127"/>
      <c r="F50" s="127"/>
      <c r="G50" s="130"/>
      <c r="H50" s="129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103" ht="24.95" customHeight="1">
      <c r="A51" s="127"/>
      <c r="B51" s="281" t="s">
        <v>100</v>
      </c>
      <c r="C51" s="281"/>
      <c r="D51" s="281"/>
      <c r="E51" s="281"/>
      <c r="F51" s="233">
        <f>F47*1.21</f>
        <v>0</v>
      </c>
      <c r="G51" s="130"/>
      <c r="H51" s="129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3" ht="24.95" customHeight="1">
      <c r="A52" s="127"/>
      <c r="B52" s="243"/>
      <c r="C52" s="243"/>
      <c r="D52" s="129"/>
      <c r="E52" s="129"/>
      <c r="F52" s="129"/>
      <c r="G52" s="130"/>
      <c r="H52" s="129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3" ht="24.95" customHeight="1">
      <c r="A53" s="127"/>
      <c r="B53" s="253"/>
      <c r="C53" s="245"/>
      <c r="D53" s="154"/>
      <c r="E53" s="155"/>
      <c r="F53" s="133"/>
      <c r="G53" s="135"/>
      <c r="H53" s="129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3" ht="35.1" customHeight="1">
      <c r="A54" s="136"/>
      <c r="B54" s="247"/>
      <c r="C54" s="247"/>
      <c r="D54" s="2"/>
      <c r="E54" s="2"/>
      <c r="F54" s="2"/>
      <c r="G54" s="135"/>
      <c r="H54" s="129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26.25" customHeight="1">
      <c r="A55" s="139"/>
      <c r="B55" s="246"/>
      <c r="C55" s="246"/>
      <c r="D55" s="140"/>
      <c r="E55" s="140"/>
      <c r="F55" s="140"/>
      <c r="G55" s="14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s="38" customFormat="1" ht="35.1" customHeight="1">
      <c r="A56" s="37"/>
      <c r="B56" s="282" t="s">
        <v>0</v>
      </c>
      <c r="C56" s="282"/>
      <c r="D56" s="282"/>
      <c r="E56" s="282"/>
      <c r="F56" s="282"/>
      <c r="G56" s="282"/>
      <c r="H56" s="89"/>
      <c r="I56" s="89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</row>
    <row r="57" spans="1:103" s="25" customFormat="1" ht="24.95" customHeight="1">
      <c r="A57" s="283"/>
      <c r="B57" s="303" t="s">
        <v>1</v>
      </c>
      <c r="C57" s="303" t="s">
        <v>2</v>
      </c>
      <c r="D57" s="304" t="s">
        <v>3</v>
      </c>
      <c r="E57" s="236" t="s">
        <v>31</v>
      </c>
      <c r="F57" s="288" t="s">
        <v>4</v>
      </c>
      <c r="G57" s="289" t="s">
        <v>32</v>
      </c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</row>
    <row r="58" spans="1:7" ht="24.95" customHeight="1">
      <c r="A58" s="283"/>
      <c r="B58" s="303"/>
      <c r="C58" s="303"/>
      <c r="D58" s="304"/>
      <c r="E58" s="46" t="s">
        <v>7</v>
      </c>
      <c r="F58" s="288"/>
      <c r="G58" s="289"/>
    </row>
    <row r="59" spans="1:10" ht="24.95" customHeight="1">
      <c r="A59" s="22"/>
      <c r="B59" s="302" t="s">
        <v>161</v>
      </c>
      <c r="C59" s="302"/>
      <c r="D59" s="302"/>
      <c r="E59" s="302"/>
      <c r="F59" s="302"/>
      <c r="G59" s="302"/>
      <c r="H59" s="88"/>
      <c r="I59" s="88"/>
      <c r="J59" s="88"/>
    </row>
    <row r="60" spans="1:103" s="1" customFormat="1" ht="24.95" customHeight="1">
      <c r="A60" s="22"/>
      <c r="B60" s="254" t="s">
        <v>151</v>
      </c>
      <c r="C60" s="254" t="s">
        <v>152</v>
      </c>
      <c r="D60" s="45" t="s">
        <v>153</v>
      </c>
      <c r="E60" s="125">
        <v>219</v>
      </c>
      <c r="F60" s="69"/>
      <c r="G60" s="69">
        <f aca="true" t="shared" si="0" ref="G60:G66">E60*F60</f>
        <v>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</row>
    <row r="61" spans="1:103" s="1" customFormat="1" ht="24.95" customHeight="1">
      <c r="A61" s="22"/>
      <c r="B61" s="254" t="s">
        <v>154</v>
      </c>
      <c r="C61" s="254" t="s">
        <v>155</v>
      </c>
      <c r="D61" s="45" t="s">
        <v>153</v>
      </c>
      <c r="E61" s="125">
        <v>152</v>
      </c>
      <c r="F61" s="69"/>
      <c r="G61" s="69">
        <f t="shared" si="0"/>
        <v>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</row>
    <row r="62" spans="1:103" s="1" customFormat="1" ht="24.95" customHeight="1">
      <c r="A62" s="22"/>
      <c r="B62" s="254" t="s">
        <v>156</v>
      </c>
      <c r="C62" s="254" t="s">
        <v>155</v>
      </c>
      <c r="D62" s="45" t="s">
        <v>153</v>
      </c>
      <c r="E62" s="125">
        <v>205</v>
      </c>
      <c r="F62" s="69"/>
      <c r="G62" s="69">
        <f t="shared" si="0"/>
        <v>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</row>
    <row r="63" spans="1:103" s="1" customFormat="1" ht="24.95" customHeight="1">
      <c r="A63" s="22"/>
      <c r="B63" s="254" t="s">
        <v>157</v>
      </c>
      <c r="C63" s="254" t="s">
        <v>158</v>
      </c>
      <c r="D63" s="45" t="s">
        <v>153</v>
      </c>
      <c r="E63" s="125">
        <v>312</v>
      </c>
      <c r="F63" s="69"/>
      <c r="G63" s="69">
        <f t="shared" si="0"/>
        <v>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</row>
    <row r="64" spans="1:103" s="1" customFormat="1" ht="24.95" customHeight="1">
      <c r="A64" s="22"/>
      <c r="B64" s="254" t="s">
        <v>159</v>
      </c>
      <c r="C64" s="254" t="s">
        <v>160</v>
      </c>
      <c r="D64" s="45" t="s">
        <v>153</v>
      </c>
      <c r="E64" s="125">
        <v>120</v>
      </c>
      <c r="F64" s="69"/>
      <c r="G64" s="69">
        <f t="shared" si="0"/>
        <v>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</row>
    <row r="65" spans="1:103" s="1" customFormat="1" ht="24.95" customHeight="1">
      <c r="A65" s="22"/>
      <c r="B65" s="254" t="s">
        <v>231</v>
      </c>
      <c r="C65" s="254" t="s">
        <v>232</v>
      </c>
      <c r="D65" s="45" t="s">
        <v>233</v>
      </c>
      <c r="E65" s="125">
        <v>10</v>
      </c>
      <c r="F65" s="263"/>
      <c r="G65" s="263">
        <f t="shared" si="0"/>
        <v>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</row>
    <row r="66" spans="1:103" s="1" customFormat="1" ht="24.95" customHeight="1">
      <c r="A66" s="22"/>
      <c r="B66" s="254" t="s">
        <v>234</v>
      </c>
      <c r="C66" s="254" t="s">
        <v>235</v>
      </c>
      <c r="D66" s="45" t="s">
        <v>233</v>
      </c>
      <c r="E66" s="125">
        <v>20</v>
      </c>
      <c r="F66" s="263"/>
      <c r="G66" s="263">
        <f t="shared" si="0"/>
        <v>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</row>
    <row r="67" spans="1:10" ht="24.95" customHeight="1">
      <c r="A67" s="22"/>
      <c r="B67" s="301" t="s">
        <v>46</v>
      </c>
      <c r="C67" s="301"/>
      <c r="D67" s="19"/>
      <c r="E67" s="105">
        <f>SUM(E60:E66)</f>
        <v>1038</v>
      </c>
      <c r="F67" s="19"/>
      <c r="G67" s="70">
        <f>SUM(G60:G66)</f>
        <v>0</v>
      </c>
      <c r="H67" s="88"/>
      <c r="I67" s="88"/>
      <c r="J67" s="88"/>
    </row>
    <row r="68" spans="1:188" s="99" customFormat="1" ht="24.95" customHeight="1">
      <c r="A68" s="257"/>
      <c r="B68" s="300" t="s">
        <v>179</v>
      </c>
      <c r="C68" s="300"/>
      <c r="D68" s="300"/>
      <c r="E68" s="300"/>
      <c r="F68" s="300"/>
      <c r="G68" s="300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</row>
    <row r="69" spans="1:188" s="99" customFormat="1" ht="24.95" customHeight="1">
      <c r="A69" s="257"/>
      <c r="B69" s="266" t="s">
        <v>227</v>
      </c>
      <c r="C69" s="266" t="s">
        <v>162</v>
      </c>
      <c r="D69" s="267" t="s">
        <v>163</v>
      </c>
      <c r="E69" s="267">
        <v>20</v>
      </c>
      <c r="F69" s="69"/>
      <c r="G69" s="69">
        <f aca="true" t="shared" si="1" ref="G69:G77">E69*F69</f>
        <v>0</v>
      </c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</row>
    <row r="70" spans="1:188" s="88" customFormat="1" ht="24.95" customHeight="1">
      <c r="A70" s="22"/>
      <c r="B70" s="254" t="s">
        <v>164</v>
      </c>
      <c r="C70" s="254" t="s">
        <v>165</v>
      </c>
      <c r="D70" s="125" t="s">
        <v>163</v>
      </c>
      <c r="E70" s="125">
        <v>48</v>
      </c>
      <c r="F70" s="69"/>
      <c r="G70" s="69">
        <f t="shared" si="1"/>
        <v>0</v>
      </c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</row>
    <row r="71" spans="1:188" s="88" customFormat="1" ht="24.95" customHeight="1">
      <c r="A71" s="22"/>
      <c r="B71" s="254" t="s">
        <v>228</v>
      </c>
      <c r="C71" s="254" t="s">
        <v>168</v>
      </c>
      <c r="D71" s="125" t="s">
        <v>163</v>
      </c>
      <c r="E71" s="125">
        <v>30</v>
      </c>
      <c r="F71" s="69"/>
      <c r="G71" s="69">
        <f t="shared" si="1"/>
        <v>0</v>
      </c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</row>
    <row r="72" spans="1:188" s="88" customFormat="1" ht="24.95" customHeight="1">
      <c r="A72" s="22"/>
      <c r="B72" s="254" t="s">
        <v>166</v>
      </c>
      <c r="C72" s="254" t="s">
        <v>167</v>
      </c>
      <c r="D72" s="125" t="s">
        <v>163</v>
      </c>
      <c r="E72" s="125">
        <v>41</v>
      </c>
      <c r="F72" s="69"/>
      <c r="G72" s="69">
        <f t="shared" si="1"/>
        <v>0</v>
      </c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</row>
    <row r="73" spans="1:188" s="88" customFormat="1" ht="24.95" customHeight="1">
      <c r="A73" s="22"/>
      <c r="B73" s="254" t="s">
        <v>169</v>
      </c>
      <c r="C73" s="254" t="s">
        <v>170</v>
      </c>
      <c r="D73" s="125" t="s">
        <v>163</v>
      </c>
      <c r="E73" s="125">
        <v>40</v>
      </c>
      <c r="F73" s="69"/>
      <c r="G73" s="69">
        <f t="shared" si="1"/>
        <v>0</v>
      </c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</row>
    <row r="74" spans="1:188" s="88" customFormat="1" ht="24.95" customHeight="1">
      <c r="A74" s="22"/>
      <c r="B74" s="254" t="s">
        <v>171</v>
      </c>
      <c r="C74" s="254" t="s">
        <v>5</v>
      </c>
      <c r="D74" s="125" t="s">
        <v>163</v>
      </c>
      <c r="E74" s="125">
        <v>74</v>
      </c>
      <c r="F74" s="69"/>
      <c r="G74" s="69">
        <f t="shared" si="1"/>
        <v>0</v>
      </c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</row>
    <row r="75" spans="1:188" s="88" customFormat="1" ht="24.95" customHeight="1">
      <c r="A75" s="22"/>
      <c r="B75" s="254" t="s">
        <v>172</v>
      </c>
      <c r="C75" s="254" t="s">
        <v>173</v>
      </c>
      <c r="D75" s="125" t="s">
        <v>163</v>
      </c>
      <c r="E75" s="125">
        <v>30</v>
      </c>
      <c r="F75" s="69"/>
      <c r="G75" s="69">
        <f t="shared" si="1"/>
        <v>0</v>
      </c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</row>
    <row r="76" spans="1:188" s="88" customFormat="1" ht="24.95" customHeight="1">
      <c r="A76" s="22"/>
      <c r="B76" s="254" t="s">
        <v>174</v>
      </c>
      <c r="C76" s="254" t="s">
        <v>175</v>
      </c>
      <c r="D76" s="125" t="s">
        <v>176</v>
      </c>
      <c r="E76" s="125">
        <v>89</v>
      </c>
      <c r="F76" s="69"/>
      <c r="G76" s="69">
        <f t="shared" si="1"/>
        <v>0</v>
      </c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</row>
    <row r="77" spans="1:10" ht="24.95" customHeight="1">
      <c r="A77" s="22"/>
      <c r="B77" s="254" t="s">
        <v>177</v>
      </c>
      <c r="C77" s="254" t="s">
        <v>178</v>
      </c>
      <c r="D77" s="125" t="s">
        <v>176</v>
      </c>
      <c r="E77" s="125">
        <v>65</v>
      </c>
      <c r="F77" s="69"/>
      <c r="G77" s="69">
        <f t="shared" si="1"/>
        <v>0</v>
      </c>
      <c r="H77" s="88"/>
      <c r="I77" s="88"/>
      <c r="J77" s="88"/>
    </row>
    <row r="78" spans="1:10" ht="24.95" customHeight="1">
      <c r="A78" s="22"/>
      <c r="B78" s="301" t="s">
        <v>180</v>
      </c>
      <c r="C78" s="301"/>
      <c r="D78" s="19"/>
      <c r="E78" s="105">
        <f>SUM(E69:E77)</f>
        <v>437</v>
      </c>
      <c r="F78" s="19"/>
      <c r="G78" s="70">
        <f>SUM(G69:G77)</f>
        <v>0</v>
      </c>
      <c r="H78" s="88"/>
      <c r="I78" s="88"/>
      <c r="J78" s="88"/>
    </row>
    <row r="79" spans="1:10" ht="24.95" customHeight="1">
      <c r="A79" s="22"/>
      <c r="B79" s="290" t="s">
        <v>57</v>
      </c>
      <c r="C79" s="290"/>
      <c r="D79" s="78" t="s">
        <v>58</v>
      </c>
      <c r="E79" s="19"/>
      <c r="F79" s="19"/>
      <c r="G79" s="70">
        <f>(G78+G67)*0.1</f>
        <v>0</v>
      </c>
      <c r="H79" s="88"/>
      <c r="I79" s="88"/>
      <c r="J79" s="88"/>
    </row>
    <row r="80" spans="1:103" s="38" customFormat="1" ht="35.1" customHeight="1">
      <c r="A80" s="39"/>
      <c r="B80" s="291" t="s">
        <v>111</v>
      </c>
      <c r="C80" s="291" t="s">
        <v>5</v>
      </c>
      <c r="D80" s="291"/>
      <c r="E80" s="291"/>
      <c r="F80" s="291"/>
      <c r="G80" s="106">
        <f>SUM(G79,G78,G67)</f>
        <v>0</v>
      </c>
      <c r="H80" s="89"/>
      <c r="I80" s="8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</row>
    <row r="81" spans="1:7" ht="35.1" customHeight="1">
      <c r="A81" s="32"/>
      <c r="B81" s="284" t="s">
        <v>48</v>
      </c>
      <c r="C81" s="284"/>
      <c r="D81" s="284"/>
      <c r="E81" s="284"/>
      <c r="F81" s="284"/>
      <c r="G81" s="284"/>
    </row>
    <row r="82" spans="1:103" s="26" customFormat="1" ht="24.95" customHeight="1">
      <c r="A82" s="285"/>
      <c r="B82" s="286" t="s">
        <v>6</v>
      </c>
      <c r="C82" s="286"/>
      <c r="D82" s="287" t="s">
        <v>47</v>
      </c>
      <c r="E82" s="271" t="s">
        <v>31</v>
      </c>
      <c r="F82" s="288" t="s">
        <v>4</v>
      </c>
      <c r="G82" s="289" t="s">
        <v>32</v>
      </c>
      <c r="H82" s="93"/>
      <c r="I82" s="93"/>
      <c r="J82" s="93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</row>
    <row r="83" spans="1:103" s="8" customFormat="1" ht="24.95" customHeight="1">
      <c r="A83" s="285"/>
      <c r="B83" s="286"/>
      <c r="C83" s="286"/>
      <c r="D83" s="287"/>
      <c r="E83" s="272"/>
      <c r="F83" s="288"/>
      <c r="G83" s="289"/>
      <c r="H83" s="5"/>
      <c r="I83" s="5"/>
      <c r="J83" s="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</row>
    <row r="84" spans="1:7" ht="24.95" customHeight="1">
      <c r="A84" s="11"/>
      <c r="B84" s="309" t="s">
        <v>11</v>
      </c>
      <c r="C84" s="309"/>
      <c r="D84" s="309"/>
      <c r="E84" s="309"/>
      <c r="F84" s="309"/>
      <c r="G84" s="309"/>
    </row>
    <row r="85" spans="1:103" s="25" customFormat="1" ht="24.75" customHeight="1">
      <c r="A85" s="24" t="s">
        <v>16</v>
      </c>
      <c r="B85" s="311" t="s">
        <v>203</v>
      </c>
      <c r="C85" s="312"/>
      <c r="D85" s="29" t="s">
        <v>58</v>
      </c>
      <c r="E85" s="31">
        <v>1</v>
      </c>
      <c r="F85" s="52"/>
      <c r="G85" s="69">
        <f aca="true" t="shared" si="2" ref="G85:G92">E85*F85</f>
        <v>0</v>
      </c>
      <c r="H85" s="96"/>
      <c r="I85" s="96"/>
      <c r="J85" s="97"/>
      <c r="K85" s="86"/>
      <c r="L85" s="91"/>
      <c r="M85" s="91"/>
      <c r="N85" s="91"/>
      <c r="O85" s="91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</row>
    <row r="86" spans="1:103" s="25" customFormat="1" ht="24.95" customHeight="1">
      <c r="A86" s="29" t="s">
        <v>23</v>
      </c>
      <c r="B86" s="305" t="s">
        <v>20</v>
      </c>
      <c r="C86" s="313"/>
      <c r="D86" s="23" t="s">
        <v>9</v>
      </c>
      <c r="E86" s="177">
        <v>368.6</v>
      </c>
      <c r="F86" s="18"/>
      <c r="G86" s="69">
        <f t="shared" si="2"/>
        <v>0</v>
      </c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</row>
    <row r="87" spans="1:103" s="25" customFormat="1" ht="24.95" customHeight="1">
      <c r="A87" s="23" t="s">
        <v>17</v>
      </c>
      <c r="B87" s="314" t="s">
        <v>41</v>
      </c>
      <c r="C87" s="305"/>
      <c r="D87" s="23" t="s">
        <v>22</v>
      </c>
      <c r="E87" s="107">
        <f>ROUND(SUM(E86*0.0008),3)</f>
        <v>0.295</v>
      </c>
      <c r="F87" s="18"/>
      <c r="G87" s="69">
        <f t="shared" si="2"/>
        <v>0</v>
      </c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</row>
    <row r="88" spans="1:103" s="25" customFormat="1" ht="24.95" customHeight="1">
      <c r="A88" s="29" t="s">
        <v>25</v>
      </c>
      <c r="B88" s="314" t="s">
        <v>113</v>
      </c>
      <c r="C88" s="305"/>
      <c r="D88" s="23" t="s">
        <v>9</v>
      </c>
      <c r="E88" s="177">
        <f>SUM(E86)</f>
        <v>368.6</v>
      </c>
      <c r="F88" s="18"/>
      <c r="G88" s="69">
        <f t="shared" si="2"/>
        <v>0</v>
      </c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</row>
    <row r="89" spans="1:103" s="82" customFormat="1" ht="24.95" customHeight="1">
      <c r="A89" s="80" t="s">
        <v>16</v>
      </c>
      <c r="B89" s="315" t="s">
        <v>54</v>
      </c>
      <c r="C89" s="316"/>
      <c r="D89" s="80" t="s">
        <v>14</v>
      </c>
      <c r="E89" s="179">
        <f>ROUND((E86*0.001),3)</f>
        <v>0.369</v>
      </c>
      <c r="F89" s="81"/>
      <c r="G89" s="69">
        <f t="shared" si="2"/>
        <v>0</v>
      </c>
      <c r="H89" s="98"/>
      <c r="I89" s="98"/>
      <c r="J89" s="98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</row>
    <row r="90" spans="1:103" s="82" customFormat="1" ht="24.95" customHeight="1">
      <c r="A90" s="43" t="s">
        <v>17</v>
      </c>
      <c r="B90" s="305" t="s">
        <v>138</v>
      </c>
      <c r="C90" s="305"/>
      <c r="D90" s="23" t="s">
        <v>35</v>
      </c>
      <c r="E90" s="55">
        <v>341</v>
      </c>
      <c r="F90" s="81"/>
      <c r="G90" s="69">
        <f t="shared" si="2"/>
        <v>0</v>
      </c>
      <c r="H90" s="98"/>
      <c r="I90" s="98"/>
      <c r="J90" s="98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</row>
    <row r="91" spans="1:103" s="82" customFormat="1" ht="24.95" customHeight="1">
      <c r="A91" s="43" t="s">
        <v>17</v>
      </c>
      <c r="B91" s="306" t="s">
        <v>139</v>
      </c>
      <c r="C91" s="307"/>
      <c r="D91" s="23" t="s">
        <v>8</v>
      </c>
      <c r="E91" s="55">
        <f>ROUND((E90*3),0)</f>
        <v>1023</v>
      </c>
      <c r="F91" s="81"/>
      <c r="G91" s="69">
        <f t="shared" si="2"/>
        <v>0</v>
      </c>
      <c r="H91" s="98"/>
      <c r="I91" s="98"/>
      <c r="J91" s="98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</row>
    <row r="92" spans="1:103" s="82" customFormat="1" ht="24.95" customHeight="1">
      <c r="A92" s="23" t="s">
        <v>16</v>
      </c>
      <c r="B92" s="305" t="s">
        <v>140</v>
      </c>
      <c r="C92" s="305"/>
      <c r="D92" s="23" t="s">
        <v>35</v>
      </c>
      <c r="E92" s="55">
        <f>E90</f>
        <v>341</v>
      </c>
      <c r="F92" s="81"/>
      <c r="G92" s="69">
        <f t="shared" si="2"/>
        <v>0</v>
      </c>
      <c r="H92" s="98"/>
      <c r="I92" s="98"/>
      <c r="J92" s="98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</row>
    <row r="93" spans="1:7" ht="24.95" customHeight="1">
      <c r="A93" s="11"/>
      <c r="B93" s="308" t="s">
        <v>12</v>
      </c>
      <c r="C93" s="308"/>
      <c r="D93" s="57"/>
      <c r="E93" s="57"/>
      <c r="F93" s="108"/>
      <c r="G93" s="109">
        <f>SUM(G85:G92)</f>
        <v>0</v>
      </c>
    </row>
    <row r="94" spans="1:7" ht="24.95" customHeight="1">
      <c r="A94" s="10"/>
      <c r="B94" s="309" t="s">
        <v>24</v>
      </c>
      <c r="C94" s="309"/>
      <c r="D94" s="309"/>
      <c r="E94" s="309"/>
      <c r="F94" s="309"/>
      <c r="G94" s="309"/>
    </row>
    <row r="95" spans="1:7" ht="24.95" customHeight="1">
      <c r="A95" s="28" t="s">
        <v>16</v>
      </c>
      <c r="B95" s="310" t="s">
        <v>44</v>
      </c>
      <c r="C95" s="310"/>
      <c r="D95" s="33" t="s">
        <v>8</v>
      </c>
      <c r="E95" s="27">
        <f>SUM(E67)</f>
        <v>1038</v>
      </c>
      <c r="F95" s="18"/>
      <c r="G95" s="69">
        <f aca="true" t="shared" si="3" ref="G95:G106">E95*F95</f>
        <v>0</v>
      </c>
    </row>
    <row r="96" spans="1:7" ht="24.95" customHeight="1">
      <c r="A96" s="13" t="s">
        <v>33</v>
      </c>
      <c r="B96" s="321" t="s">
        <v>26</v>
      </c>
      <c r="C96" s="321"/>
      <c r="D96" s="11" t="s">
        <v>8</v>
      </c>
      <c r="E96" s="27">
        <f>SUM(E67)</f>
        <v>1038</v>
      </c>
      <c r="F96" s="18"/>
      <c r="G96" s="69">
        <f t="shared" si="3"/>
        <v>0</v>
      </c>
    </row>
    <row r="97" spans="1:7" ht="24.95" customHeight="1">
      <c r="A97" s="13" t="s">
        <v>27</v>
      </c>
      <c r="B97" s="320" t="s">
        <v>28</v>
      </c>
      <c r="C97" s="320"/>
      <c r="D97" s="10" t="s">
        <v>8</v>
      </c>
      <c r="E97" s="27">
        <f>E96</f>
        <v>1038</v>
      </c>
      <c r="F97" s="12"/>
      <c r="G97" s="69">
        <f t="shared" si="3"/>
        <v>0</v>
      </c>
    </row>
    <row r="98" spans="1:7" ht="24.95" customHeight="1">
      <c r="A98" s="24" t="s">
        <v>51</v>
      </c>
      <c r="B98" s="311" t="s">
        <v>52</v>
      </c>
      <c r="C98" s="311"/>
      <c r="D98" s="65" t="s">
        <v>10</v>
      </c>
      <c r="E98" s="31">
        <f>ROUND((E104*0.02),2)</f>
        <v>5.28</v>
      </c>
      <c r="F98" s="18"/>
      <c r="G98" s="69">
        <f t="shared" si="3"/>
        <v>0</v>
      </c>
    </row>
    <row r="99" spans="1:7" ht="24.95" customHeight="1">
      <c r="A99" s="11" t="s">
        <v>17</v>
      </c>
      <c r="B99" s="322" t="s">
        <v>30</v>
      </c>
      <c r="C99" s="322"/>
      <c r="D99" s="17" t="s">
        <v>10</v>
      </c>
      <c r="E99" s="21">
        <f>ROUND(SUM(E96*0.01),2)</f>
        <v>10.38</v>
      </c>
      <c r="F99" s="20"/>
      <c r="G99" s="69">
        <f t="shared" si="3"/>
        <v>0</v>
      </c>
    </row>
    <row r="100" spans="1:7" ht="24.95" customHeight="1">
      <c r="A100" s="11" t="s">
        <v>17</v>
      </c>
      <c r="B100" s="317" t="s">
        <v>130</v>
      </c>
      <c r="C100" s="318"/>
      <c r="D100" s="10" t="s">
        <v>8</v>
      </c>
      <c r="E100" s="11">
        <f>SUM(E96*1)</f>
        <v>1038</v>
      </c>
      <c r="F100" s="12"/>
      <c r="G100" s="69">
        <f t="shared" si="3"/>
        <v>0</v>
      </c>
    </row>
    <row r="101" spans="1:7" ht="24.95" customHeight="1">
      <c r="A101" s="10" t="s">
        <v>17</v>
      </c>
      <c r="B101" s="317" t="s">
        <v>131</v>
      </c>
      <c r="C101" s="318"/>
      <c r="D101" s="10" t="s">
        <v>13</v>
      </c>
      <c r="E101" s="31">
        <f>ROUND(SUM(E96*10/1000),2)</f>
        <v>10.38</v>
      </c>
      <c r="F101" s="12"/>
      <c r="G101" s="69">
        <f t="shared" si="3"/>
        <v>0</v>
      </c>
    </row>
    <row r="102" spans="1:7" ht="24.95" customHeight="1">
      <c r="A102" s="13" t="s">
        <v>21</v>
      </c>
      <c r="B102" s="319" t="s">
        <v>67</v>
      </c>
      <c r="C102" s="320"/>
      <c r="D102" s="10" t="s">
        <v>9</v>
      </c>
      <c r="E102" s="31">
        <f>ROUND(SUM(E104*1.05),2)</f>
        <v>277.31</v>
      </c>
      <c r="F102" s="12"/>
      <c r="G102" s="69">
        <f t="shared" si="3"/>
        <v>0</v>
      </c>
    </row>
    <row r="103" spans="1:7" ht="24.95" customHeight="1">
      <c r="A103" s="10" t="s">
        <v>17</v>
      </c>
      <c r="B103" s="319" t="s">
        <v>112</v>
      </c>
      <c r="C103" s="320"/>
      <c r="D103" s="10" t="s">
        <v>9</v>
      </c>
      <c r="E103" s="31">
        <f>ROUND(SUM(E102:E102),2)</f>
        <v>277.31</v>
      </c>
      <c r="F103" s="12"/>
      <c r="G103" s="69">
        <f t="shared" si="3"/>
        <v>0</v>
      </c>
    </row>
    <row r="104" spans="1:7" ht="24.95" customHeight="1">
      <c r="A104" s="24" t="s">
        <v>18</v>
      </c>
      <c r="B104" s="320" t="s">
        <v>15</v>
      </c>
      <c r="C104" s="320"/>
      <c r="D104" s="10" t="s">
        <v>9</v>
      </c>
      <c r="E104" s="31">
        <v>264.1</v>
      </c>
      <c r="F104" s="12"/>
      <c r="G104" s="69">
        <f t="shared" si="3"/>
        <v>0</v>
      </c>
    </row>
    <row r="105" spans="1:7" ht="24.95" customHeight="1">
      <c r="A105" s="11" t="s">
        <v>17</v>
      </c>
      <c r="B105" s="319" t="s">
        <v>29</v>
      </c>
      <c r="C105" s="320"/>
      <c r="D105" s="10" t="s">
        <v>10</v>
      </c>
      <c r="E105" s="31">
        <f>SUM(E104*0.1)</f>
        <v>26.410000000000004</v>
      </c>
      <c r="F105" s="12"/>
      <c r="G105" s="69">
        <f t="shared" si="3"/>
        <v>0</v>
      </c>
    </row>
    <row r="106" spans="1:103" s="82" customFormat="1" ht="24.95" customHeight="1">
      <c r="A106" s="80" t="s">
        <v>56</v>
      </c>
      <c r="B106" s="315" t="s">
        <v>55</v>
      </c>
      <c r="C106" s="315"/>
      <c r="D106" s="80" t="s">
        <v>14</v>
      </c>
      <c r="E106" s="179">
        <f>ROUND(((E99*1.8)),3)</f>
        <v>18.684</v>
      </c>
      <c r="F106" s="81"/>
      <c r="G106" s="69">
        <f t="shared" si="3"/>
        <v>0</v>
      </c>
      <c r="H106" s="98"/>
      <c r="I106" s="98"/>
      <c r="J106" s="98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</row>
    <row r="107" spans="1:7" ht="24.95" customHeight="1">
      <c r="A107" s="10"/>
      <c r="B107" s="308" t="s">
        <v>64</v>
      </c>
      <c r="C107" s="308"/>
      <c r="D107" s="57"/>
      <c r="E107" s="57"/>
      <c r="F107" s="108"/>
      <c r="G107" s="109">
        <f>SUM(G95:G106)</f>
        <v>0</v>
      </c>
    </row>
    <row r="108" spans="1:103" s="26" customFormat="1" ht="24.95" customHeight="1">
      <c r="A108" s="285"/>
      <c r="B108" s="286" t="s">
        <v>6</v>
      </c>
      <c r="C108" s="286"/>
      <c r="D108" s="287" t="s">
        <v>47</v>
      </c>
      <c r="E108" s="271" t="s">
        <v>31</v>
      </c>
      <c r="F108" s="288" t="s">
        <v>4</v>
      </c>
      <c r="G108" s="289" t="s">
        <v>32</v>
      </c>
      <c r="H108" s="93"/>
      <c r="I108" s="93"/>
      <c r="J108" s="93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</row>
    <row r="109" spans="1:103" s="8" customFormat="1" ht="24.95" customHeight="1">
      <c r="A109" s="285"/>
      <c r="B109" s="286"/>
      <c r="C109" s="286"/>
      <c r="D109" s="287"/>
      <c r="E109" s="272"/>
      <c r="F109" s="288"/>
      <c r="G109" s="289"/>
      <c r="H109" s="5"/>
      <c r="I109" s="5"/>
      <c r="J109" s="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</row>
    <row r="110" spans="1:8" ht="24.95" customHeight="1">
      <c r="A110" s="11"/>
      <c r="B110" s="323" t="s">
        <v>181</v>
      </c>
      <c r="C110" s="323"/>
      <c r="D110" s="323"/>
      <c r="E110" s="323"/>
      <c r="F110" s="323"/>
      <c r="G110" s="323"/>
      <c r="H110" s="86"/>
    </row>
    <row r="111" spans="1:8" ht="24.95" customHeight="1">
      <c r="A111" s="28" t="s">
        <v>16</v>
      </c>
      <c r="B111" s="310" t="s">
        <v>44</v>
      </c>
      <c r="C111" s="310"/>
      <c r="D111" s="33" t="s">
        <v>8</v>
      </c>
      <c r="E111" s="79">
        <f>E78</f>
        <v>437</v>
      </c>
      <c r="F111" s="12"/>
      <c r="G111" s="69">
        <f aca="true" t="shared" si="4" ref="G111:G117">E111*F111</f>
        <v>0</v>
      </c>
      <c r="H111" s="86"/>
    </row>
    <row r="112" spans="1:8" ht="24.95" customHeight="1">
      <c r="A112" s="35" t="s">
        <v>114</v>
      </c>
      <c r="B112" s="327" t="s">
        <v>115</v>
      </c>
      <c r="C112" s="310"/>
      <c r="D112" s="53" t="s">
        <v>8</v>
      </c>
      <c r="E112" s="79">
        <f>E111</f>
        <v>437</v>
      </c>
      <c r="F112" s="110"/>
      <c r="G112" s="69">
        <f t="shared" si="4"/>
        <v>0</v>
      </c>
      <c r="H112" s="60"/>
    </row>
    <row r="113" spans="1:8" ht="24.95" customHeight="1">
      <c r="A113" s="24" t="s">
        <v>51</v>
      </c>
      <c r="B113" s="311" t="s">
        <v>52</v>
      </c>
      <c r="C113" s="311"/>
      <c r="D113" s="65" t="s">
        <v>10</v>
      </c>
      <c r="E113" s="31">
        <f>ROUND((E115*0.02),2)</f>
        <v>2.09</v>
      </c>
      <c r="F113" s="18"/>
      <c r="G113" s="69">
        <f t="shared" si="4"/>
        <v>0</v>
      </c>
      <c r="H113" s="60"/>
    </row>
    <row r="114" spans="1:8" ht="24.95" customHeight="1">
      <c r="A114" s="11" t="s">
        <v>17</v>
      </c>
      <c r="B114" s="322" t="s">
        <v>30</v>
      </c>
      <c r="C114" s="322"/>
      <c r="D114" s="17" t="s">
        <v>10</v>
      </c>
      <c r="E114" s="21">
        <f>ROUND((E111*0.01),2)</f>
        <v>4.37</v>
      </c>
      <c r="F114" s="20"/>
      <c r="G114" s="69">
        <f t="shared" si="4"/>
        <v>0</v>
      </c>
      <c r="H114" s="60"/>
    </row>
    <row r="115" spans="1:8" ht="24.95" customHeight="1">
      <c r="A115" s="80" t="s">
        <v>18</v>
      </c>
      <c r="B115" s="328" t="s">
        <v>15</v>
      </c>
      <c r="C115" s="328"/>
      <c r="D115" s="54" t="s">
        <v>9</v>
      </c>
      <c r="E115" s="178">
        <v>104.5</v>
      </c>
      <c r="F115" s="63"/>
      <c r="G115" s="69">
        <f t="shared" si="4"/>
        <v>0</v>
      </c>
      <c r="H115" s="61"/>
    </row>
    <row r="116" spans="1:8" ht="24.95" customHeight="1">
      <c r="A116" s="43" t="s">
        <v>17</v>
      </c>
      <c r="B116" s="328" t="s">
        <v>29</v>
      </c>
      <c r="C116" s="328"/>
      <c r="D116" s="54" t="s">
        <v>10</v>
      </c>
      <c r="E116" s="56">
        <v>10.45</v>
      </c>
      <c r="F116" s="64"/>
      <c r="G116" s="69">
        <f t="shared" si="4"/>
        <v>0</v>
      </c>
      <c r="H116" s="61"/>
    </row>
    <row r="117" spans="1:103" s="82" customFormat="1" ht="24.95" customHeight="1">
      <c r="A117" s="80" t="s">
        <v>56</v>
      </c>
      <c r="B117" s="315" t="s">
        <v>55</v>
      </c>
      <c r="C117" s="315"/>
      <c r="D117" s="80" t="s">
        <v>14</v>
      </c>
      <c r="E117" s="179">
        <f>ROUND(((E114*1.8)),3)</f>
        <v>7.866</v>
      </c>
      <c r="F117" s="81"/>
      <c r="G117" s="69">
        <f t="shared" si="4"/>
        <v>0</v>
      </c>
      <c r="H117" s="98"/>
      <c r="I117" s="98"/>
      <c r="J117" s="98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</row>
    <row r="118" spans="1:8" ht="24.95" customHeight="1">
      <c r="A118" s="11"/>
      <c r="B118" s="326" t="s">
        <v>182</v>
      </c>
      <c r="C118" s="326"/>
      <c r="D118" s="57"/>
      <c r="E118" s="57"/>
      <c r="F118" s="58"/>
      <c r="G118" s="109">
        <f>SUM(G111:G117)</f>
        <v>0</v>
      </c>
      <c r="H118" s="62"/>
    </row>
    <row r="119" spans="1:11" s="82" customFormat="1" ht="24.95" customHeight="1">
      <c r="A119" s="54"/>
      <c r="B119" s="275" t="s">
        <v>229</v>
      </c>
      <c r="C119" s="275"/>
      <c r="D119" s="275"/>
      <c r="E119" s="275"/>
      <c r="F119" s="275"/>
      <c r="G119" s="275"/>
      <c r="H119" s="188"/>
      <c r="I119" s="188"/>
      <c r="J119" s="188"/>
      <c r="K119" s="188"/>
    </row>
    <row r="120" spans="1:11" s="82" customFormat="1" ht="24.95" customHeight="1">
      <c r="A120" s="11" t="s">
        <v>17</v>
      </c>
      <c r="B120" s="324" t="s">
        <v>225</v>
      </c>
      <c r="C120" s="325"/>
      <c r="D120" s="17" t="s">
        <v>14</v>
      </c>
      <c r="E120" s="55">
        <f>486.7*0.15*1.8*1.3</f>
        <v>170.83169999999998</v>
      </c>
      <c r="F120" s="190"/>
      <c r="G120" s="69">
        <f aca="true" t="shared" si="5" ref="G120:G121">E120*F120</f>
        <v>0</v>
      </c>
      <c r="H120" s="188"/>
      <c r="I120" s="188"/>
      <c r="J120" s="188"/>
      <c r="K120" s="188"/>
    </row>
    <row r="121" spans="1:103" ht="24.95" customHeight="1">
      <c r="A121" s="125" t="s">
        <v>187</v>
      </c>
      <c r="B121" s="324" t="s">
        <v>188</v>
      </c>
      <c r="C121" s="325"/>
      <c r="D121" s="17" t="s">
        <v>9</v>
      </c>
      <c r="E121" s="185">
        <v>486.7</v>
      </c>
      <c r="F121" s="190"/>
      <c r="G121" s="69">
        <f t="shared" si="5"/>
        <v>0</v>
      </c>
      <c r="H121" s="149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</row>
    <row r="122" spans="1:103" ht="24.95" customHeight="1">
      <c r="A122" s="115" t="s">
        <v>183</v>
      </c>
      <c r="B122" s="331" t="s">
        <v>184</v>
      </c>
      <c r="C122" s="331"/>
      <c r="D122" s="115" t="s">
        <v>9</v>
      </c>
      <c r="E122" s="185">
        <f>SUM(E121)</f>
        <v>486.7</v>
      </c>
      <c r="F122" s="189"/>
      <c r="G122" s="69">
        <f>E122*F122</f>
        <v>0</v>
      </c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</row>
    <row r="123" spans="1:103" ht="24.95" customHeight="1">
      <c r="A123" s="14" t="s">
        <v>185</v>
      </c>
      <c r="B123" s="332" t="s">
        <v>186</v>
      </c>
      <c r="C123" s="331"/>
      <c r="D123" s="115" t="s">
        <v>10</v>
      </c>
      <c r="E123" s="185">
        <f>ROUND((0.01*E121),2)</f>
        <v>4.87</v>
      </c>
      <c r="F123" s="189"/>
      <c r="G123" s="69">
        <f>E123*F123</f>
        <v>0</v>
      </c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</row>
    <row r="124" spans="1:103" ht="24.95" customHeight="1">
      <c r="A124" s="187" t="s">
        <v>189</v>
      </c>
      <c r="B124" s="333" t="s">
        <v>190</v>
      </c>
      <c r="C124" s="334"/>
      <c r="D124" s="186" t="s">
        <v>9</v>
      </c>
      <c r="E124" s="191">
        <v>338.5</v>
      </c>
      <c r="F124" s="192"/>
      <c r="G124" s="69">
        <f aca="true" t="shared" si="6" ref="G124:G129">E124*F124</f>
        <v>0</v>
      </c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</row>
    <row r="125" spans="1:103" ht="24.95" customHeight="1">
      <c r="A125" s="115" t="s">
        <v>17</v>
      </c>
      <c r="B125" s="334" t="s">
        <v>191</v>
      </c>
      <c r="C125" s="334"/>
      <c r="D125" s="115" t="s">
        <v>13</v>
      </c>
      <c r="E125" s="185">
        <f>ROUND(SUM(E124*250/10000),2)</f>
        <v>8.46</v>
      </c>
      <c r="F125" s="189"/>
      <c r="G125" s="69">
        <f t="shared" si="6"/>
        <v>0</v>
      </c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</row>
    <row r="126" spans="1:103" ht="24.95" customHeight="1">
      <c r="A126" s="184" t="s">
        <v>19</v>
      </c>
      <c r="B126" s="334" t="s">
        <v>192</v>
      </c>
      <c r="C126" s="334"/>
      <c r="D126" s="115" t="s">
        <v>14</v>
      </c>
      <c r="E126" s="193">
        <f>ROUND(SUM(E127*0.001),3)</f>
        <v>0.01</v>
      </c>
      <c r="F126" s="194"/>
      <c r="G126" s="69">
        <f t="shared" si="6"/>
        <v>0</v>
      </c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</row>
    <row r="127" spans="1:103" ht="24.95" customHeight="1">
      <c r="A127" s="186" t="s">
        <v>17</v>
      </c>
      <c r="B127" s="334" t="s">
        <v>193</v>
      </c>
      <c r="C127" s="334"/>
      <c r="D127" s="186" t="s">
        <v>13</v>
      </c>
      <c r="E127" s="191">
        <f>ROUND(SUM(E124*0.03),2)</f>
        <v>10.16</v>
      </c>
      <c r="F127" s="192"/>
      <c r="G127" s="69">
        <f t="shared" si="6"/>
        <v>0</v>
      </c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</row>
    <row r="128" spans="1:103" ht="24.95" customHeight="1">
      <c r="A128" s="200" t="s">
        <v>194</v>
      </c>
      <c r="B128" s="329" t="s">
        <v>195</v>
      </c>
      <c r="C128" s="329"/>
      <c r="D128" s="200" t="s">
        <v>9</v>
      </c>
      <c r="E128" s="201">
        <f>SUM(E124*3)</f>
        <v>1015.5</v>
      </c>
      <c r="F128" s="202"/>
      <c r="G128" s="69">
        <f t="shared" si="6"/>
        <v>0</v>
      </c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11" s="82" customFormat="1" ht="24.95" customHeight="1">
      <c r="A129" s="80" t="s">
        <v>16</v>
      </c>
      <c r="B129" s="315" t="s">
        <v>54</v>
      </c>
      <c r="C129" s="330"/>
      <c r="D129" s="80" t="s">
        <v>14</v>
      </c>
      <c r="E129" s="195">
        <f>E121*0.001</f>
        <v>0.4867</v>
      </c>
      <c r="F129" s="196"/>
      <c r="G129" s="69">
        <f t="shared" si="6"/>
        <v>0</v>
      </c>
      <c r="H129" s="188"/>
      <c r="I129" s="188"/>
      <c r="J129" s="188"/>
      <c r="K129" s="188"/>
    </row>
    <row r="130" spans="1:103" ht="24.95" customHeight="1">
      <c r="A130" s="197"/>
      <c r="B130" s="276" t="s">
        <v>196</v>
      </c>
      <c r="C130" s="276"/>
      <c r="D130" s="198"/>
      <c r="E130" s="198"/>
      <c r="F130" s="199"/>
      <c r="G130" s="71">
        <f>SUM(G120:G129)</f>
        <v>0</v>
      </c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</row>
    <row r="131" spans="1:10" s="26" customFormat="1" ht="24.95" customHeight="1">
      <c r="A131" s="268"/>
      <c r="B131" s="269" t="s">
        <v>6</v>
      </c>
      <c r="C131" s="269"/>
      <c r="D131" s="270" t="s">
        <v>47</v>
      </c>
      <c r="E131" s="271" t="s">
        <v>31</v>
      </c>
      <c r="F131" s="273" t="s">
        <v>4</v>
      </c>
      <c r="G131" s="274" t="s">
        <v>32</v>
      </c>
      <c r="H131" s="258"/>
      <c r="I131" s="258"/>
      <c r="J131" s="258"/>
    </row>
    <row r="132" spans="1:10" s="51" customFormat="1" ht="24.95" customHeight="1">
      <c r="A132" s="268"/>
      <c r="B132" s="269"/>
      <c r="C132" s="269"/>
      <c r="D132" s="270"/>
      <c r="E132" s="272"/>
      <c r="F132" s="273"/>
      <c r="G132" s="274"/>
      <c r="H132" s="259"/>
      <c r="I132" s="259"/>
      <c r="J132" s="259"/>
    </row>
    <row r="133" spans="1:9" s="82" customFormat="1" ht="24.95" customHeight="1">
      <c r="A133" s="54"/>
      <c r="B133" s="275" t="s">
        <v>60</v>
      </c>
      <c r="C133" s="275"/>
      <c r="D133" s="275"/>
      <c r="E133" s="275"/>
      <c r="F133" s="275"/>
      <c r="G133" s="203"/>
      <c r="H133" s="188"/>
      <c r="I133" s="188"/>
    </row>
    <row r="134" spans="1:103" ht="24.95" customHeight="1">
      <c r="A134" s="184" t="s">
        <v>61</v>
      </c>
      <c r="B134" s="332" t="s">
        <v>62</v>
      </c>
      <c r="C134" s="331"/>
      <c r="D134" s="115" t="s">
        <v>9</v>
      </c>
      <c r="E134" s="260">
        <v>2141</v>
      </c>
      <c r="F134" s="189"/>
      <c r="G134" s="261">
        <f>E134*F134</f>
        <v>0</v>
      </c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</row>
    <row r="135" spans="1:103" ht="24.95" customHeight="1">
      <c r="A135" s="184" t="s">
        <v>40</v>
      </c>
      <c r="B135" s="332" t="s">
        <v>116</v>
      </c>
      <c r="C135" s="325"/>
      <c r="D135" s="115" t="s">
        <v>9</v>
      </c>
      <c r="E135" s="260">
        <f>E134</f>
        <v>2141</v>
      </c>
      <c r="F135" s="189"/>
      <c r="G135" s="261">
        <f>E135*F135</f>
        <v>0</v>
      </c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</row>
    <row r="136" spans="1:103" ht="24.95" customHeight="1">
      <c r="A136" s="115" t="s">
        <v>17</v>
      </c>
      <c r="B136" s="333" t="s">
        <v>197</v>
      </c>
      <c r="C136" s="334"/>
      <c r="D136" s="115" t="s">
        <v>13</v>
      </c>
      <c r="E136" s="262">
        <f>ROUND((E134*0.002),3)</f>
        <v>4.282</v>
      </c>
      <c r="F136" s="189"/>
      <c r="G136" s="261">
        <f>E136*F136</f>
        <v>0</v>
      </c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</row>
    <row r="137" spans="1:103" ht="24.95" customHeight="1">
      <c r="A137" s="184" t="s">
        <v>63</v>
      </c>
      <c r="B137" s="332" t="s">
        <v>117</v>
      </c>
      <c r="C137" s="331"/>
      <c r="D137" s="115" t="s">
        <v>9</v>
      </c>
      <c r="E137" s="260">
        <f>E134</f>
        <v>2141</v>
      </c>
      <c r="F137" s="189"/>
      <c r="G137" s="261">
        <f>E137*F137</f>
        <v>0</v>
      </c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</row>
    <row r="138" spans="1:103" ht="24.95" customHeight="1">
      <c r="A138" s="115" t="s">
        <v>17</v>
      </c>
      <c r="B138" s="333" t="s">
        <v>198</v>
      </c>
      <c r="C138" s="334"/>
      <c r="D138" s="184" t="s">
        <v>14</v>
      </c>
      <c r="E138" s="262">
        <f>ROUND((E134*0.004*1.8),3)</f>
        <v>15.415</v>
      </c>
      <c r="F138" s="189"/>
      <c r="G138" s="261">
        <f>E138*F138</f>
        <v>0</v>
      </c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</row>
    <row r="139" spans="1:103" ht="24.95" customHeight="1">
      <c r="A139" s="197"/>
      <c r="B139" s="276" t="s">
        <v>199</v>
      </c>
      <c r="C139" s="276"/>
      <c r="D139" s="198"/>
      <c r="E139" s="198"/>
      <c r="F139" s="199"/>
      <c r="G139" s="211">
        <f>SUM(G134:G138)</f>
        <v>0</v>
      </c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</row>
    <row r="140" spans="1:103" s="51" customFormat="1" ht="35.1" customHeight="1">
      <c r="A140" s="50"/>
      <c r="B140" s="284" t="s">
        <v>101</v>
      </c>
      <c r="C140" s="284"/>
      <c r="D140" s="284"/>
      <c r="E140" s="284"/>
      <c r="F140" s="284"/>
      <c r="G140" s="72">
        <f>SUM(G130,G118,G107,G93,G139)</f>
        <v>0</v>
      </c>
      <c r="H140" s="100"/>
      <c r="I140" s="100"/>
      <c r="J140" s="100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</row>
    <row r="141" spans="1:103" s="51" customFormat="1" ht="35.1" customHeight="1">
      <c r="A141" s="158"/>
      <c r="B141" s="335" t="s">
        <v>200</v>
      </c>
      <c r="C141" s="336"/>
      <c r="D141" s="336"/>
      <c r="E141" s="336"/>
      <c r="F141" s="336"/>
      <c r="G141" s="337"/>
      <c r="H141" s="100"/>
      <c r="I141" s="100"/>
      <c r="J141" s="100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</row>
    <row r="142" spans="1:103" s="26" customFormat="1" ht="24.95" customHeight="1">
      <c r="A142" s="285"/>
      <c r="B142" s="286" t="s">
        <v>6</v>
      </c>
      <c r="C142" s="286"/>
      <c r="D142" s="287" t="s">
        <v>47</v>
      </c>
      <c r="E142" s="271" t="s">
        <v>31</v>
      </c>
      <c r="F142" s="288" t="s">
        <v>4</v>
      </c>
      <c r="G142" s="289" t="s">
        <v>32</v>
      </c>
      <c r="H142" s="93"/>
      <c r="I142" s="93"/>
      <c r="J142" s="93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</row>
    <row r="143" spans="1:103" s="8" customFormat="1" ht="24.95" customHeight="1">
      <c r="A143" s="285"/>
      <c r="B143" s="286"/>
      <c r="C143" s="286"/>
      <c r="D143" s="287"/>
      <c r="E143" s="272"/>
      <c r="F143" s="288"/>
      <c r="G143" s="289"/>
      <c r="H143" s="5"/>
      <c r="I143" s="5"/>
      <c r="J143" s="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</row>
    <row r="144" spans="1:103" s="206" customFormat="1" ht="24.95" customHeight="1">
      <c r="A144" s="207"/>
      <c r="B144" s="338" t="s">
        <v>201</v>
      </c>
      <c r="C144" s="339"/>
      <c r="D144" s="339"/>
      <c r="E144" s="339"/>
      <c r="F144" s="339"/>
      <c r="G144" s="340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</row>
    <row r="145" spans="1:103" s="30" customFormat="1" ht="24.95" customHeight="1">
      <c r="A145" s="35" t="s">
        <v>37</v>
      </c>
      <c r="B145" s="341" t="s">
        <v>144</v>
      </c>
      <c r="C145" s="321"/>
      <c r="D145" s="11" t="s">
        <v>10</v>
      </c>
      <c r="E145" s="31">
        <f>ROUND((E104*12*0.02),2)*3</f>
        <v>190.14000000000001</v>
      </c>
      <c r="F145" s="18"/>
      <c r="G145" s="73">
        <f>F145*E145</f>
        <v>0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</row>
    <row r="146" spans="1:103" s="30" customFormat="1" ht="24.95" customHeight="1">
      <c r="A146" s="24" t="s">
        <v>51</v>
      </c>
      <c r="B146" s="311" t="s">
        <v>52</v>
      </c>
      <c r="C146" s="311"/>
      <c r="D146" s="65" t="s">
        <v>10</v>
      </c>
      <c r="E146" s="31">
        <f>E145</f>
        <v>190.14000000000001</v>
      </c>
      <c r="F146" s="18"/>
      <c r="G146" s="73">
        <f>F146*E146</f>
        <v>0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</row>
    <row r="147" spans="1:103" s="30" customFormat="1" ht="24.95" customHeight="1">
      <c r="A147" s="35" t="s">
        <v>34</v>
      </c>
      <c r="B147" s="341" t="s">
        <v>119</v>
      </c>
      <c r="C147" s="321"/>
      <c r="D147" s="11" t="s">
        <v>9</v>
      </c>
      <c r="E147" s="31">
        <f>ROUND((E104*2),2)*3</f>
        <v>1584.6000000000001</v>
      </c>
      <c r="F147" s="18"/>
      <c r="G147" s="73">
        <f>F147*E147</f>
        <v>0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</row>
    <row r="148" spans="1:103" s="30" customFormat="1" ht="24.95" customHeight="1">
      <c r="A148" s="24" t="s">
        <v>18</v>
      </c>
      <c r="B148" s="341" t="s">
        <v>118</v>
      </c>
      <c r="C148" s="321"/>
      <c r="D148" s="11" t="s">
        <v>9</v>
      </c>
      <c r="E148" s="31">
        <f>ROUND(E104,2)*3</f>
        <v>792.3000000000001</v>
      </c>
      <c r="F148" s="18"/>
      <c r="G148" s="73">
        <f>F148*E148</f>
        <v>0</v>
      </c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</row>
    <row r="149" spans="1:103" s="30" customFormat="1" ht="24.95" customHeight="1">
      <c r="A149" s="11" t="s">
        <v>17</v>
      </c>
      <c r="B149" s="341" t="s">
        <v>42</v>
      </c>
      <c r="C149" s="321"/>
      <c r="D149" s="11" t="s">
        <v>10</v>
      </c>
      <c r="E149" s="31">
        <f>E148*0.1</f>
        <v>79.23000000000002</v>
      </c>
      <c r="F149" s="18"/>
      <c r="G149" s="73">
        <f>F149*E149</f>
        <v>0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</row>
    <row r="150" spans="1:103" s="206" customFormat="1" ht="24.95" customHeight="1">
      <c r="A150" s="204"/>
      <c r="B150" s="344" t="s">
        <v>202</v>
      </c>
      <c r="C150" s="344"/>
      <c r="D150" s="208"/>
      <c r="E150" s="208"/>
      <c r="F150" s="209"/>
      <c r="G150" s="210">
        <f>SUM(G145:G149)</f>
        <v>0</v>
      </c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</row>
    <row r="151" spans="1:103" s="30" customFormat="1" ht="24.95" customHeight="1">
      <c r="A151" s="207"/>
      <c r="B151" s="338" t="s">
        <v>205</v>
      </c>
      <c r="C151" s="339"/>
      <c r="D151" s="339"/>
      <c r="E151" s="339"/>
      <c r="F151" s="339"/>
      <c r="G151" s="340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</row>
    <row r="152" spans="1:103" s="30" customFormat="1" ht="24.95" customHeight="1">
      <c r="A152" s="35" t="s">
        <v>36</v>
      </c>
      <c r="B152" s="341" t="s">
        <v>145</v>
      </c>
      <c r="C152" s="321"/>
      <c r="D152" s="11" t="s">
        <v>10</v>
      </c>
      <c r="E152" s="31">
        <f>(E115)*12*0.02*3</f>
        <v>75.24000000000001</v>
      </c>
      <c r="F152" s="18"/>
      <c r="G152" s="73">
        <f aca="true" t="shared" si="7" ref="G152:G158">F152*E152</f>
        <v>0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</row>
    <row r="153" spans="1:103" s="30" customFormat="1" ht="24.95" customHeight="1">
      <c r="A153" s="24" t="s">
        <v>51</v>
      </c>
      <c r="B153" s="311" t="s">
        <v>52</v>
      </c>
      <c r="C153" s="311"/>
      <c r="D153" s="65" t="s">
        <v>10</v>
      </c>
      <c r="E153" s="31">
        <f>E152</f>
        <v>75.24000000000001</v>
      </c>
      <c r="F153" s="18"/>
      <c r="G153" s="73">
        <f t="shared" si="7"/>
        <v>0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</row>
    <row r="154" spans="1:103" s="30" customFormat="1" ht="24.95" customHeight="1">
      <c r="A154" s="35" t="s">
        <v>49</v>
      </c>
      <c r="B154" s="341" t="s">
        <v>120</v>
      </c>
      <c r="C154" s="321"/>
      <c r="D154" s="11" t="s">
        <v>9</v>
      </c>
      <c r="E154" s="31">
        <f>(E115)*5*3</f>
        <v>1567.5</v>
      </c>
      <c r="F154" s="18"/>
      <c r="G154" s="73">
        <f t="shared" si="7"/>
        <v>0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</row>
    <row r="155" spans="1:103" s="30" customFormat="1" ht="24.95" customHeight="1">
      <c r="A155" s="24" t="s">
        <v>18</v>
      </c>
      <c r="B155" s="341" t="s">
        <v>121</v>
      </c>
      <c r="C155" s="321"/>
      <c r="D155" s="11" t="s">
        <v>9</v>
      </c>
      <c r="E155" s="31">
        <f>E115*3</f>
        <v>313.5</v>
      </c>
      <c r="F155" s="18"/>
      <c r="G155" s="73">
        <f t="shared" si="7"/>
        <v>0</v>
      </c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</row>
    <row r="156" spans="1:103" s="30" customFormat="1" ht="24.95" customHeight="1">
      <c r="A156" s="43" t="s">
        <v>17</v>
      </c>
      <c r="B156" s="328" t="s">
        <v>29</v>
      </c>
      <c r="C156" s="328"/>
      <c r="D156" s="54" t="s">
        <v>10</v>
      </c>
      <c r="E156" s="31">
        <f>E155*0.1</f>
        <v>31.35</v>
      </c>
      <c r="F156" s="18"/>
      <c r="G156" s="73">
        <f t="shared" si="7"/>
        <v>0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</row>
    <row r="157" spans="1:103" s="30" customFormat="1" ht="24.95" customHeight="1">
      <c r="A157" s="24" t="s">
        <v>50</v>
      </c>
      <c r="B157" s="341" t="s">
        <v>122</v>
      </c>
      <c r="C157" s="321"/>
      <c r="D157" s="11" t="s">
        <v>9</v>
      </c>
      <c r="E157" s="31">
        <f>(E115)*3</f>
        <v>313.5</v>
      </c>
      <c r="F157" s="18"/>
      <c r="G157" s="73">
        <f t="shared" si="7"/>
        <v>0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</row>
    <row r="158" spans="1:103" s="30" customFormat="1" ht="24.95" customHeight="1">
      <c r="A158" s="24" t="s">
        <v>16</v>
      </c>
      <c r="B158" s="342" t="s">
        <v>204</v>
      </c>
      <c r="C158" s="343"/>
      <c r="D158" s="24" t="s">
        <v>8</v>
      </c>
      <c r="E158" s="31">
        <f>SUM(E76,E77)*3</f>
        <v>462</v>
      </c>
      <c r="F158" s="18"/>
      <c r="G158" s="73">
        <f t="shared" si="7"/>
        <v>0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</row>
    <row r="159" spans="1:103" s="206" customFormat="1" ht="24.95" customHeight="1">
      <c r="A159" s="204"/>
      <c r="B159" s="344" t="s">
        <v>202</v>
      </c>
      <c r="C159" s="344"/>
      <c r="D159" s="208"/>
      <c r="E159" s="208"/>
      <c r="F159" s="209"/>
      <c r="G159" s="210">
        <f>SUM(G152:G158)</f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</row>
    <row r="160" spans="1:103" s="30" customFormat="1" ht="24.95" customHeight="1">
      <c r="A160" s="207"/>
      <c r="B160" s="338" t="s">
        <v>226</v>
      </c>
      <c r="C160" s="339"/>
      <c r="D160" s="339"/>
      <c r="E160" s="339"/>
      <c r="F160" s="339"/>
      <c r="G160" s="340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</row>
    <row r="161" spans="1:103" s="85" customFormat="1" ht="25.5" customHeight="1">
      <c r="A161" s="83" t="s">
        <v>38</v>
      </c>
      <c r="B161" s="347" t="s">
        <v>132</v>
      </c>
      <c r="C161" s="348"/>
      <c r="D161" s="43" t="s">
        <v>9</v>
      </c>
      <c r="E161" s="178">
        <f>(E124+E134)*8*3</f>
        <v>59508</v>
      </c>
      <c r="F161" s="81"/>
      <c r="G161" s="84">
        <f>F161*E161</f>
        <v>0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</row>
    <row r="162" spans="1:103" s="85" customFormat="1" ht="24.95" customHeight="1">
      <c r="A162" s="83" t="s">
        <v>39</v>
      </c>
      <c r="B162" s="347" t="s">
        <v>123</v>
      </c>
      <c r="C162" s="348"/>
      <c r="D162" s="43" t="s">
        <v>9</v>
      </c>
      <c r="E162" s="178">
        <f>(E124+E134)*2*3</f>
        <v>14877</v>
      </c>
      <c r="F162" s="81"/>
      <c r="G162" s="84">
        <f>F162*E162</f>
        <v>0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</row>
    <row r="163" spans="1:103" s="206" customFormat="1" ht="24.95" customHeight="1">
      <c r="A163" s="204"/>
      <c r="B163" s="344" t="s">
        <v>207</v>
      </c>
      <c r="C163" s="344"/>
      <c r="D163" s="208"/>
      <c r="E163" s="208"/>
      <c r="F163" s="209"/>
      <c r="G163" s="210">
        <f>SUM(G161:G162)</f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05"/>
      <c r="BO163" s="205"/>
      <c r="BP163" s="205"/>
      <c r="BQ163" s="205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/>
      <c r="CC163" s="205"/>
      <c r="CD163" s="205"/>
      <c r="CE163" s="205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5"/>
      <c r="CY163" s="205"/>
    </row>
    <row r="164" spans="1:103" s="85" customFormat="1" ht="24.95" customHeight="1">
      <c r="A164" s="83" t="s">
        <v>16</v>
      </c>
      <c r="B164" s="315" t="s">
        <v>208</v>
      </c>
      <c r="C164" s="315"/>
      <c r="D164" s="80" t="s">
        <v>14</v>
      </c>
      <c r="E164" s="55">
        <f>0.1*(8+5)*3</f>
        <v>3.9000000000000004</v>
      </c>
      <c r="F164" s="81"/>
      <c r="G164" s="84">
        <f aca="true" t="shared" si="8" ref="G164:G165">F164*E164</f>
        <v>0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</row>
    <row r="165" spans="1:103" s="85" customFormat="1" ht="24.95" customHeight="1">
      <c r="A165" s="83" t="s">
        <v>16</v>
      </c>
      <c r="B165" s="315" t="s">
        <v>209</v>
      </c>
      <c r="C165" s="315"/>
      <c r="D165" s="80" t="s">
        <v>58</v>
      </c>
      <c r="E165" s="55">
        <v>5</v>
      </c>
      <c r="F165" s="81"/>
      <c r="G165" s="84">
        <f t="shared" si="8"/>
        <v>0</v>
      </c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</row>
    <row r="166" spans="1:103" s="47" customFormat="1" ht="35.1" customHeight="1">
      <c r="A166" s="48"/>
      <c r="B166" s="345" t="s">
        <v>206</v>
      </c>
      <c r="C166" s="345"/>
      <c r="D166" s="345"/>
      <c r="E166" s="345"/>
      <c r="F166" s="345"/>
      <c r="G166" s="74">
        <f>SUM(G150+G163+G159+G164+G165)</f>
        <v>0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</row>
    <row r="167" spans="1:103" s="36" customFormat="1" ht="35.1" customHeight="1">
      <c r="A167" s="111"/>
      <c r="B167" s="346" t="s">
        <v>43</v>
      </c>
      <c r="C167" s="346"/>
      <c r="D167" s="346"/>
      <c r="E167" s="346"/>
      <c r="F167" s="346"/>
      <c r="G167" s="346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</row>
    <row r="168" spans="1:103" s="26" customFormat="1" ht="24.95" customHeight="1">
      <c r="A168" s="285"/>
      <c r="B168" s="286" t="s">
        <v>6</v>
      </c>
      <c r="C168" s="286"/>
      <c r="D168" s="287" t="s">
        <v>47</v>
      </c>
      <c r="E168" s="271" t="s">
        <v>31</v>
      </c>
      <c r="F168" s="288" t="s">
        <v>4</v>
      </c>
      <c r="G168" s="289" t="s">
        <v>32</v>
      </c>
      <c r="H168" s="93"/>
      <c r="I168" s="93"/>
      <c r="J168" s="93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</row>
    <row r="169" spans="1:103" s="8" customFormat="1" ht="24.95" customHeight="1">
      <c r="A169" s="285"/>
      <c r="B169" s="286"/>
      <c r="C169" s="286"/>
      <c r="D169" s="287"/>
      <c r="E169" s="272"/>
      <c r="F169" s="288"/>
      <c r="G169" s="289"/>
      <c r="H169" s="5"/>
      <c r="I169" s="5"/>
      <c r="J169" s="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</row>
    <row r="170" spans="1:104" s="41" customFormat="1" ht="24.95" customHeight="1">
      <c r="A170" s="122"/>
      <c r="B170" s="353" t="s">
        <v>78</v>
      </c>
      <c r="C170" s="353"/>
      <c r="D170" s="353"/>
      <c r="E170" s="353"/>
      <c r="F170" s="353"/>
      <c r="G170" s="35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87"/>
    </row>
    <row r="171" spans="1:104" s="41" customFormat="1" ht="24.95" customHeight="1">
      <c r="A171" s="115" t="s">
        <v>16</v>
      </c>
      <c r="B171" s="355" t="s">
        <v>68</v>
      </c>
      <c r="C171" s="355"/>
      <c r="D171" s="116" t="s">
        <v>9</v>
      </c>
      <c r="E171" s="43">
        <v>70</v>
      </c>
      <c r="F171" s="174"/>
      <c r="G171" s="73">
        <f>E171*F171</f>
        <v>0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87"/>
    </row>
    <row r="172" spans="1:104" s="41" customFormat="1" ht="24.95" customHeight="1">
      <c r="A172" s="115" t="s">
        <v>16</v>
      </c>
      <c r="B172" s="355" t="s">
        <v>69</v>
      </c>
      <c r="C172" s="355"/>
      <c r="D172" s="116" t="s">
        <v>10</v>
      </c>
      <c r="E172" s="55">
        <f>E171*0.24*1.3</f>
        <v>21.840000000000003</v>
      </c>
      <c r="F172" s="174"/>
      <c r="G172" s="73">
        <f aca="true" t="shared" si="9" ref="G172:G189">E172*F172</f>
        <v>0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87"/>
    </row>
    <row r="173" spans="1:104" s="41" customFormat="1" ht="24.95" customHeight="1">
      <c r="A173" s="115" t="s">
        <v>16</v>
      </c>
      <c r="B173" s="355" t="s">
        <v>70</v>
      </c>
      <c r="C173" s="355"/>
      <c r="D173" s="116" t="s">
        <v>14</v>
      </c>
      <c r="E173" s="55">
        <f>E172*1.8</f>
        <v>39.312000000000005</v>
      </c>
      <c r="F173" s="174"/>
      <c r="G173" s="73">
        <f t="shared" si="9"/>
        <v>0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87"/>
    </row>
    <row r="174" spans="1:104" s="41" customFormat="1" ht="24.95" customHeight="1">
      <c r="A174" s="115" t="s">
        <v>16</v>
      </c>
      <c r="B174" s="355" t="s">
        <v>45</v>
      </c>
      <c r="C174" s="355"/>
      <c r="D174" s="116" t="s">
        <v>9</v>
      </c>
      <c r="E174" s="43">
        <f>E171</f>
        <v>70</v>
      </c>
      <c r="F174" s="174"/>
      <c r="G174" s="73">
        <f t="shared" si="9"/>
        <v>0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87"/>
    </row>
    <row r="175" spans="1:104" s="218" customFormat="1" ht="24.95" customHeight="1">
      <c r="A175" s="212" t="s">
        <v>16</v>
      </c>
      <c r="B175" s="350" t="s">
        <v>71</v>
      </c>
      <c r="C175" s="350"/>
      <c r="D175" s="213" t="s">
        <v>72</v>
      </c>
      <c r="E175" s="223">
        <v>1</v>
      </c>
      <c r="F175" s="214"/>
      <c r="G175" s="215">
        <f t="shared" si="9"/>
        <v>0</v>
      </c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7"/>
    </row>
    <row r="176" spans="1:104" s="218" customFormat="1" ht="24.95" customHeight="1">
      <c r="A176" s="219" t="s">
        <v>125</v>
      </c>
      <c r="B176" s="349" t="s">
        <v>124</v>
      </c>
      <c r="C176" s="350"/>
      <c r="D176" s="220" t="s">
        <v>10</v>
      </c>
      <c r="E176" s="224">
        <f>0.1*E171</f>
        <v>7</v>
      </c>
      <c r="F176" s="221"/>
      <c r="G176" s="215">
        <f t="shared" si="9"/>
        <v>0</v>
      </c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7"/>
    </row>
    <row r="177" spans="1:104" s="218" customFormat="1" ht="24.95" customHeight="1">
      <c r="A177" s="212" t="s">
        <v>16</v>
      </c>
      <c r="B177" s="349" t="s">
        <v>127</v>
      </c>
      <c r="C177" s="350"/>
      <c r="D177" s="220" t="s">
        <v>10</v>
      </c>
      <c r="E177" s="224">
        <f>E176</f>
        <v>7</v>
      </c>
      <c r="F177" s="221"/>
      <c r="G177" s="215">
        <f t="shared" si="9"/>
        <v>0</v>
      </c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7"/>
    </row>
    <row r="178" spans="1:104" s="218" customFormat="1" ht="24.95" customHeight="1">
      <c r="A178" s="212" t="s">
        <v>17</v>
      </c>
      <c r="B178" s="349" t="s">
        <v>73</v>
      </c>
      <c r="C178" s="350"/>
      <c r="D178" s="220" t="s">
        <v>14</v>
      </c>
      <c r="E178" s="223">
        <f>E171*0.1*2</f>
        <v>14</v>
      </c>
      <c r="F178" s="221"/>
      <c r="G178" s="215">
        <f t="shared" si="9"/>
        <v>0</v>
      </c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7"/>
    </row>
    <row r="179" spans="1:104" s="41" customFormat="1" ht="24.95" customHeight="1">
      <c r="A179" s="118" t="s">
        <v>16</v>
      </c>
      <c r="B179" s="351" t="s">
        <v>74</v>
      </c>
      <c r="C179" s="352"/>
      <c r="D179" s="119" t="s">
        <v>72</v>
      </c>
      <c r="E179" s="43">
        <v>1</v>
      </c>
      <c r="F179" s="175"/>
      <c r="G179" s="73">
        <f t="shared" si="9"/>
        <v>0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87"/>
    </row>
    <row r="180" spans="1:104" s="41" customFormat="1" ht="24.95" customHeight="1">
      <c r="A180" s="80" t="s">
        <v>125</v>
      </c>
      <c r="B180" s="351" t="s">
        <v>124</v>
      </c>
      <c r="C180" s="352"/>
      <c r="D180" s="120" t="s">
        <v>10</v>
      </c>
      <c r="E180" s="55">
        <f>0.1*E171</f>
        <v>7</v>
      </c>
      <c r="F180" s="176"/>
      <c r="G180" s="73">
        <f t="shared" si="9"/>
        <v>0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87"/>
    </row>
    <row r="181" spans="1:104" s="41" customFormat="1" ht="24.95" customHeight="1">
      <c r="A181" s="118" t="s">
        <v>16</v>
      </c>
      <c r="B181" s="351" t="s">
        <v>128</v>
      </c>
      <c r="C181" s="352"/>
      <c r="D181" s="120" t="s">
        <v>10</v>
      </c>
      <c r="E181" s="43">
        <f>E180</f>
        <v>7</v>
      </c>
      <c r="F181" s="176"/>
      <c r="G181" s="73">
        <f t="shared" si="9"/>
        <v>0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87"/>
    </row>
    <row r="182" spans="1:104" s="41" customFormat="1" ht="24.95" customHeight="1">
      <c r="A182" s="118" t="s">
        <v>17</v>
      </c>
      <c r="B182" s="351" t="s">
        <v>133</v>
      </c>
      <c r="C182" s="352"/>
      <c r="D182" s="120" t="s">
        <v>14</v>
      </c>
      <c r="E182" s="43">
        <f>0.1*E171*2</f>
        <v>14</v>
      </c>
      <c r="F182" s="176"/>
      <c r="G182" s="73">
        <f t="shared" si="9"/>
        <v>0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87"/>
    </row>
    <row r="183" spans="1:104" s="218" customFormat="1" ht="24.95" customHeight="1">
      <c r="A183" s="212" t="s">
        <v>16</v>
      </c>
      <c r="B183" s="350" t="s">
        <v>75</v>
      </c>
      <c r="C183" s="350"/>
      <c r="D183" s="213" t="s">
        <v>72</v>
      </c>
      <c r="E183" s="223">
        <v>1</v>
      </c>
      <c r="F183" s="214"/>
      <c r="G183" s="215">
        <f t="shared" si="9"/>
        <v>0</v>
      </c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7"/>
    </row>
    <row r="184" spans="1:104" s="218" customFormat="1" ht="24.95" customHeight="1">
      <c r="A184" s="219" t="s">
        <v>125</v>
      </c>
      <c r="B184" s="349" t="s">
        <v>124</v>
      </c>
      <c r="C184" s="350"/>
      <c r="D184" s="220" t="s">
        <v>10</v>
      </c>
      <c r="E184" s="224">
        <f>0.04*E171</f>
        <v>2.8000000000000003</v>
      </c>
      <c r="F184" s="221"/>
      <c r="G184" s="215">
        <f t="shared" si="9"/>
        <v>0</v>
      </c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7"/>
    </row>
    <row r="185" spans="1:104" s="218" customFormat="1" ht="24.95" customHeight="1">
      <c r="A185" s="219" t="s">
        <v>16</v>
      </c>
      <c r="B185" s="349" t="s">
        <v>76</v>
      </c>
      <c r="C185" s="349"/>
      <c r="D185" s="220" t="s">
        <v>10</v>
      </c>
      <c r="E185" s="224">
        <f>E184</f>
        <v>2.8000000000000003</v>
      </c>
      <c r="F185" s="221"/>
      <c r="G185" s="215">
        <f t="shared" si="9"/>
        <v>0</v>
      </c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7"/>
    </row>
    <row r="186" spans="1:104" s="218" customFormat="1" ht="24.95" customHeight="1">
      <c r="A186" s="219" t="s">
        <v>17</v>
      </c>
      <c r="B186" s="349" t="s">
        <v>77</v>
      </c>
      <c r="C186" s="349"/>
      <c r="D186" s="220" t="s">
        <v>14</v>
      </c>
      <c r="E186" s="224">
        <f>0.04*E171*2</f>
        <v>5.6000000000000005</v>
      </c>
      <c r="F186" s="221"/>
      <c r="G186" s="215">
        <f t="shared" si="9"/>
        <v>0</v>
      </c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7"/>
    </row>
    <row r="187" spans="1:104" s="218" customFormat="1" ht="24.95" customHeight="1">
      <c r="A187" s="212" t="s">
        <v>16</v>
      </c>
      <c r="B187" s="358" t="s">
        <v>129</v>
      </c>
      <c r="C187" s="358"/>
      <c r="D187" s="212" t="s">
        <v>9</v>
      </c>
      <c r="E187" s="223">
        <f>E171*4</f>
        <v>280</v>
      </c>
      <c r="F187" s="222"/>
      <c r="G187" s="215">
        <f t="shared" si="9"/>
        <v>0</v>
      </c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7"/>
    </row>
    <row r="188" spans="1:104" s="41" customFormat="1" ht="24.95" customHeight="1">
      <c r="A188" s="118" t="s">
        <v>16</v>
      </c>
      <c r="B188" s="330" t="s">
        <v>65</v>
      </c>
      <c r="C188" s="330"/>
      <c r="D188" s="118" t="s">
        <v>35</v>
      </c>
      <c r="E188" s="43">
        <v>44</v>
      </c>
      <c r="F188" s="163"/>
      <c r="G188" s="73">
        <f t="shared" si="9"/>
        <v>0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87"/>
    </row>
    <row r="189" spans="1:104" s="41" customFormat="1" ht="24.95" customHeight="1">
      <c r="A189" s="118" t="s">
        <v>17</v>
      </c>
      <c r="B189" s="330" t="s">
        <v>66</v>
      </c>
      <c r="C189" s="330"/>
      <c r="D189" s="118" t="s">
        <v>35</v>
      </c>
      <c r="E189" s="43">
        <v>44</v>
      </c>
      <c r="F189" s="163"/>
      <c r="G189" s="73">
        <f t="shared" si="9"/>
        <v>0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87"/>
    </row>
    <row r="190" spans="1:188" s="49" customFormat="1" ht="21.75" customHeight="1">
      <c r="A190" s="66"/>
      <c r="B190" s="356" t="s">
        <v>79</v>
      </c>
      <c r="C190" s="356"/>
      <c r="D190" s="112"/>
      <c r="E190" s="112"/>
      <c r="F190" s="112"/>
      <c r="G190" s="75">
        <f>SUM(G171:G189)</f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</row>
    <row r="191" spans="1:188" s="49" customFormat="1" ht="21.75" customHeight="1">
      <c r="A191" s="66"/>
      <c r="B191" s="357" t="s">
        <v>210</v>
      </c>
      <c r="C191" s="357"/>
      <c r="D191" s="357"/>
      <c r="E191" s="357"/>
      <c r="F191" s="357"/>
      <c r="G191" s="35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</row>
    <row r="192" spans="1:7" s="44" customFormat="1" ht="24.95" customHeight="1">
      <c r="A192" s="42" t="s">
        <v>17</v>
      </c>
      <c r="B192" s="311" t="s">
        <v>212</v>
      </c>
      <c r="C192" s="311"/>
      <c r="D192" s="80" t="s">
        <v>8</v>
      </c>
      <c r="E192" s="43">
        <v>12</v>
      </c>
      <c r="F192" s="123"/>
      <c r="G192" s="73">
        <f aca="true" t="shared" si="10" ref="G192:G193">E192*F192</f>
        <v>0</v>
      </c>
    </row>
    <row r="193" spans="1:7" s="44" customFormat="1" ht="24.95" customHeight="1">
      <c r="A193" s="24" t="s">
        <v>53</v>
      </c>
      <c r="B193" s="311" t="s">
        <v>126</v>
      </c>
      <c r="C193" s="311"/>
      <c r="D193" s="80" t="s">
        <v>9</v>
      </c>
      <c r="E193" s="43">
        <v>3</v>
      </c>
      <c r="F193" s="123"/>
      <c r="G193" s="73">
        <f t="shared" si="10"/>
        <v>0</v>
      </c>
    </row>
    <row r="194" spans="1:7" s="44" customFormat="1" ht="24.95" customHeight="1">
      <c r="A194" s="68"/>
      <c r="B194" s="356" t="s">
        <v>211</v>
      </c>
      <c r="C194" s="356"/>
      <c r="D194" s="112"/>
      <c r="E194" s="112"/>
      <c r="F194" s="112"/>
      <c r="G194" s="75">
        <f>SUM(G192:G193)</f>
        <v>0</v>
      </c>
    </row>
    <row r="195" spans="1:103" s="26" customFormat="1" ht="24.95" customHeight="1">
      <c r="A195" s="285"/>
      <c r="B195" s="286" t="s">
        <v>6</v>
      </c>
      <c r="C195" s="286"/>
      <c r="D195" s="287" t="s">
        <v>47</v>
      </c>
      <c r="E195" s="271" t="s">
        <v>31</v>
      </c>
      <c r="F195" s="288" t="s">
        <v>4</v>
      </c>
      <c r="G195" s="289" t="s">
        <v>32</v>
      </c>
      <c r="H195" s="93"/>
      <c r="I195" s="93"/>
      <c r="J195" s="93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</row>
    <row r="196" spans="1:103" s="8" customFormat="1" ht="24.95" customHeight="1">
      <c r="A196" s="285"/>
      <c r="B196" s="286"/>
      <c r="C196" s="286"/>
      <c r="D196" s="287"/>
      <c r="E196" s="272"/>
      <c r="F196" s="288"/>
      <c r="G196" s="289"/>
      <c r="H196" s="5"/>
      <c r="I196" s="5"/>
      <c r="J196" s="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</row>
    <row r="197" spans="1:7" s="44" customFormat="1" ht="24.95" customHeight="1">
      <c r="A197" s="68"/>
      <c r="B197" s="359" t="s">
        <v>134</v>
      </c>
      <c r="C197" s="353"/>
      <c r="D197" s="353"/>
      <c r="E197" s="353"/>
      <c r="F197" s="353"/>
      <c r="G197" s="354"/>
    </row>
    <row r="198" spans="1:7" s="44" customFormat="1" ht="24.95" customHeight="1">
      <c r="A198" s="125" t="s">
        <v>16</v>
      </c>
      <c r="B198" s="315" t="s">
        <v>135</v>
      </c>
      <c r="C198" s="330"/>
      <c r="D198" s="118" t="s">
        <v>9</v>
      </c>
      <c r="E198" s="43">
        <v>81.7</v>
      </c>
      <c r="F198" s="174"/>
      <c r="G198" s="73">
        <f aca="true" t="shared" si="11" ref="G198:G207">E198*F198</f>
        <v>0</v>
      </c>
    </row>
    <row r="199" spans="1:7" s="44" customFormat="1" ht="24.95" customHeight="1">
      <c r="A199" s="125" t="s">
        <v>16</v>
      </c>
      <c r="B199" s="315" t="s">
        <v>213</v>
      </c>
      <c r="C199" s="330"/>
      <c r="D199" s="80" t="s">
        <v>10</v>
      </c>
      <c r="E199" s="178">
        <f>E198*0.15</f>
        <v>12.255</v>
      </c>
      <c r="F199" s="174"/>
      <c r="G199" s="73">
        <f t="shared" si="11"/>
        <v>0</v>
      </c>
    </row>
    <row r="200" spans="1:7" s="44" customFormat="1" ht="24.95" customHeight="1">
      <c r="A200" s="125" t="s">
        <v>16</v>
      </c>
      <c r="B200" s="315" t="s">
        <v>80</v>
      </c>
      <c r="C200" s="330"/>
      <c r="D200" s="80" t="s">
        <v>14</v>
      </c>
      <c r="E200" s="178">
        <f>E199*1.8</f>
        <v>22.059</v>
      </c>
      <c r="F200" s="174"/>
      <c r="G200" s="73">
        <f t="shared" si="11"/>
        <v>0</v>
      </c>
    </row>
    <row r="201" spans="1:7" s="44" customFormat="1" ht="24.95" customHeight="1">
      <c r="A201" s="125" t="s">
        <v>16</v>
      </c>
      <c r="B201" s="360" t="s">
        <v>81</v>
      </c>
      <c r="C201" s="360"/>
      <c r="D201" s="14" t="s">
        <v>9</v>
      </c>
      <c r="E201" s="43">
        <f>E198</f>
        <v>81.7</v>
      </c>
      <c r="F201" s="174"/>
      <c r="G201" s="73">
        <f t="shared" si="11"/>
        <v>0</v>
      </c>
    </row>
    <row r="202" spans="1:7" s="44" customFormat="1" ht="24.95" customHeight="1">
      <c r="A202" s="14" t="s">
        <v>17</v>
      </c>
      <c r="B202" s="360" t="s">
        <v>82</v>
      </c>
      <c r="C202" s="360"/>
      <c r="D202" s="14" t="s">
        <v>9</v>
      </c>
      <c r="E202" s="55">
        <f>E198*1.05</f>
        <v>85.78500000000001</v>
      </c>
      <c r="F202" s="174"/>
      <c r="G202" s="73">
        <f t="shared" si="11"/>
        <v>0</v>
      </c>
    </row>
    <row r="203" spans="1:7" s="44" customFormat="1" ht="24.95" customHeight="1">
      <c r="A203" s="180" t="s">
        <v>16</v>
      </c>
      <c r="B203" s="361" t="s">
        <v>137</v>
      </c>
      <c r="C203" s="362"/>
      <c r="D203" s="181" t="s">
        <v>9</v>
      </c>
      <c r="E203" s="55">
        <f>E198</f>
        <v>81.7</v>
      </c>
      <c r="F203" s="174"/>
      <c r="G203" s="73">
        <f t="shared" si="11"/>
        <v>0</v>
      </c>
    </row>
    <row r="204" spans="1:7" s="44" customFormat="1" ht="24.95" customHeight="1">
      <c r="A204" s="118" t="s">
        <v>17</v>
      </c>
      <c r="B204" s="315" t="s">
        <v>230</v>
      </c>
      <c r="C204" s="315"/>
      <c r="D204" s="80" t="s">
        <v>14</v>
      </c>
      <c r="E204" s="43">
        <v>8.2</v>
      </c>
      <c r="F204" s="174"/>
      <c r="G204" s="73">
        <f t="shared" si="11"/>
        <v>0</v>
      </c>
    </row>
    <row r="205" spans="1:7" s="44" customFormat="1" ht="24.95" customHeight="1">
      <c r="A205" s="118" t="s">
        <v>17</v>
      </c>
      <c r="B205" s="363" t="s">
        <v>141</v>
      </c>
      <c r="C205" s="364"/>
      <c r="D205" s="80" t="s">
        <v>14</v>
      </c>
      <c r="E205" s="43">
        <f>E198*0.1*2</f>
        <v>16.34</v>
      </c>
      <c r="F205" s="174"/>
      <c r="G205" s="73">
        <f t="shared" si="11"/>
        <v>0</v>
      </c>
    </row>
    <row r="206" spans="1:7" s="44" customFormat="1" ht="24.95" customHeight="1">
      <c r="A206" s="180" t="s">
        <v>16</v>
      </c>
      <c r="B206" s="363" t="s">
        <v>142</v>
      </c>
      <c r="C206" s="364"/>
      <c r="D206" s="80" t="s">
        <v>58</v>
      </c>
      <c r="E206" s="43">
        <v>1</v>
      </c>
      <c r="F206" s="174"/>
      <c r="G206" s="73">
        <f t="shared" si="11"/>
        <v>0</v>
      </c>
    </row>
    <row r="207" spans="1:7" s="44" customFormat="1" ht="24.95" customHeight="1">
      <c r="A207" s="180" t="s">
        <v>16</v>
      </c>
      <c r="B207" s="361" t="s">
        <v>143</v>
      </c>
      <c r="C207" s="362"/>
      <c r="D207" s="118" t="s">
        <v>9</v>
      </c>
      <c r="E207" s="43">
        <f>E198</f>
        <v>81.7</v>
      </c>
      <c r="F207" s="174"/>
      <c r="G207" s="73">
        <f t="shared" si="11"/>
        <v>0</v>
      </c>
    </row>
    <row r="208" spans="1:7" s="44" customFormat="1" ht="24.95" customHeight="1">
      <c r="A208" s="68"/>
      <c r="B208" s="356" t="s">
        <v>136</v>
      </c>
      <c r="C208" s="356"/>
      <c r="D208" s="126"/>
      <c r="E208" s="126"/>
      <c r="F208" s="126"/>
      <c r="G208" s="113">
        <f>SUM(G198:G207)</f>
        <v>0</v>
      </c>
    </row>
    <row r="209" spans="1:7" s="264" customFormat="1" ht="24.95" customHeight="1">
      <c r="A209" s="22"/>
      <c r="B209" s="359" t="s">
        <v>236</v>
      </c>
      <c r="C209" s="353"/>
      <c r="D209" s="353"/>
      <c r="E209" s="353"/>
      <c r="F209" s="353"/>
      <c r="G209" s="354"/>
    </row>
    <row r="210" spans="1:7" s="264" customFormat="1" ht="33.75" customHeight="1">
      <c r="A210" s="40" t="s">
        <v>106</v>
      </c>
      <c r="B210" s="315" t="s">
        <v>237</v>
      </c>
      <c r="C210" s="330"/>
      <c r="D210" s="80" t="s">
        <v>8</v>
      </c>
      <c r="E210" s="118">
        <v>3</v>
      </c>
      <c r="F210" s="174"/>
      <c r="G210" s="265">
        <f aca="true" t="shared" si="12" ref="G210:G211">E210*F210</f>
        <v>0</v>
      </c>
    </row>
    <row r="211" spans="1:7" s="264" customFormat="1" ht="24.95" customHeight="1">
      <c r="A211" s="40" t="s">
        <v>106</v>
      </c>
      <c r="B211" s="315" t="s">
        <v>238</v>
      </c>
      <c r="C211" s="330"/>
      <c r="D211" s="80" t="s">
        <v>8</v>
      </c>
      <c r="E211" s="260">
        <f>3*10</f>
        <v>30</v>
      </c>
      <c r="F211" s="174"/>
      <c r="G211" s="265">
        <f t="shared" si="12"/>
        <v>0</v>
      </c>
    </row>
    <row r="212" spans="1:7" s="264" customFormat="1" ht="24.95" customHeight="1">
      <c r="A212" s="22"/>
      <c r="B212" s="356" t="s">
        <v>239</v>
      </c>
      <c r="C212" s="356"/>
      <c r="D212" s="126"/>
      <c r="E212" s="126"/>
      <c r="F212" s="126"/>
      <c r="G212" s="113">
        <f>SUM(G210:G211)</f>
        <v>0</v>
      </c>
    </row>
    <row r="213" spans="1:103" s="36" customFormat="1" ht="35.1" customHeight="1">
      <c r="A213" s="111"/>
      <c r="B213" s="346" t="s">
        <v>59</v>
      </c>
      <c r="C213" s="346"/>
      <c r="D213" s="346"/>
      <c r="E213" s="346"/>
      <c r="F213" s="346"/>
      <c r="G213" s="114">
        <f>SUM(G208,G194,G190,G212)</f>
        <v>0</v>
      </c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</row>
    <row r="214" spans="1:7" ht="36.75" customHeight="1">
      <c r="A214" s="168"/>
      <c r="B214" s="367" t="s">
        <v>107</v>
      </c>
      <c r="C214" s="367"/>
      <c r="D214" s="367"/>
      <c r="E214" s="367"/>
      <c r="F214" s="367"/>
      <c r="G214" s="367"/>
    </row>
    <row r="215" spans="1:103" s="26" customFormat="1" ht="24.95" customHeight="1">
      <c r="A215" s="285"/>
      <c r="B215" s="286" t="s">
        <v>6</v>
      </c>
      <c r="C215" s="286"/>
      <c r="D215" s="287" t="s">
        <v>47</v>
      </c>
      <c r="E215" s="271" t="s">
        <v>31</v>
      </c>
      <c r="F215" s="288" t="s">
        <v>4</v>
      </c>
      <c r="G215" s="289" t="s">
        <v>32</v>
      </c>
      <c r="H215" s="93"/>
      <c r="I215" s="93"/>
      <c r="J215" s="93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  <c r="CW215" s="94"/>
      <c r="CX215" s="94"/>
      <c r="CY215" s="94"/>
    </row>
    <row r="216" spans="1:103" s="8" customFormat="1" ht="24.95" customHeight="1">
      <c r="A216" s="285"/>
      <c r="B216" s="286"/>
      <c r="C216" s="286"/>
      <c r="D216" s="287"/>
      <c r="E216" s="272"/>
      <c r="F216" s="288"/>
      <c r="G216" s="289"/>
      <c r="H216" s="5"/>
      <c r="I216" s="5"/>
      <c r="J216" s="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</row>
    <row r="217" spans="1:103" s="82" customFormat="1" ht="24.95" customHeight="1">
      <c r="A217" s="40" t="s">
        <v>17</v>
      </c>
      <c r="B217" s="315" t="s">
        <v>215</v>
      </c>
      <c r="C217" s="330"/>
      <c r="D217" s="118" t="s">
        <v>8</v>
      </c>
      <c r="E217" s="43">
        <v>4</v>
      </c>
      <c r="F217" s="227"/>
      <c r="G217" s="228">
        <f>E217*F217</f>
        <v>0</v>
      </c>
      <c r="H217" s="98"/>
      <c r="I217" s="98"/>
      <c r="J217" s="98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</row>
    <row r="218" spans="1:103" s="82" customFormat="1" ht="24.95" customHeight="1">
      <c r="A218" s="40" t="s">
        <v>106</v>
      </c>
      <c r="B218" s="330" t="s">
        <v>103</v>
      </c>
      <c r="C218" s="330"/>
      <c r="D218" s="118" t="s">
        <v>8</v>
      </c>
      <c r="E218" s="43">
        <f>E217*2</f>
        <v>8</v>
      </c>
      <c r="F218" s="227"/>
      <c r="G218" s="228">
        <f aca="true" t="shared" si="13" ref="G218">E218*F218</f>
        <v>0</v>
      </c>
      <c r="H218" s="98"/>
      <c r="I218" s="98"/>
      <c r="J218" s="98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</row>
    <row r="219" spans="1:7" ht="24.95" customHeight="1">
      <c r="A219" s="161" t="s">
        <v>17</v>
      </c>
      <c r="B219" s="365" t="s">
        <v>214</v>
      </c>
      <c r="C219" s="366"/>
      <c r="D219" s="117" t="s">
        <v>8</v>
      </c>
      <c r="E219" s="225">
        <v>5</v>
      </c>
      <c r="F219" s="164"/>
      <c r="G219" s="226">
        <f>E219*F219</f>
        <v>0</v>
      </c>
    </row>
    <row r="220" spans="1:7" ht="24.95" customHeight="1">
      <c r="A220" s="161" t="s">
        <v>106</v>
      </c>
      <c r="B220" s="366" t="s">
        <v>103</v>
      </c>
      <c r="C220" s="366"/>
      <c r="D220" s="117" t="s">
        <v>8</v>
      </c>
      <c r="E220" s="225">
        <f>E219*2</f>
        <v>10</v>
      </c>
      <c r="F220" s="164"/>
      <c r="G220" s="226">
        <f aca="true" t="shared" si="14" ref="G220">E220*F220</f>
        <v>0</v>
      </c>
    </row>
    <row r="221" spans="1:7" ht="24.95" customHeight="1">
      <c r="A221" s="42" t="s">
        <v>17</v>
      </c>
      <c r="B221" s="315" t="s">
        <v>216</v>
      </c>
      <c r="C221" s="315"/>
      <c r="D221" s="80" t="s">
        <v>8</v>
      </c>
      <c r="E221" s="80">
        <v>3</v>
      </c>
      <c r="F221" s="165"/>
      <c r="G221" s="229">
        <f>E221*F221</f>
        <v>0</v>
      </c>
    </row>
    <row r="222" spans="1:7" ht="24.95" customHeight="1">
      <c r="A222" s="42" t="s">
        <v>106</v>
      </c>
      <c r="B222" s="315" t="s">
        <v>104</v>
      </c>
      <c r="C222" s="315"/>
      <c r="D222" s="80" t="s">
        <v>8</v>
      </c>
      <c r="E222" s="80">
        <v>3</v>
      </c>
      <c r="F222" s="165"/>
      <c r="G222" s="229">
        <f aca="true" t="shared" si="15" ref="G222:G230">E222*F222</f>
        <v>0</v>
      </c>
    </row>
    <row r="223" spans="1:7" ht="24.95" customHeight="1">
      <c r="A223" s="162" t="s">
        <v>17</v>
      </c>
      <c r="B223" s="365" t="s">
        <v>217</v>
      </c>
      <c r="C223" s="365"/>
      <c r="D223" s="121" t="s">
        <v>8</v>
      </c>
      <c r="E223" s="225">
        <v>2</v>
      </c>
      <c r="F223" s="166"/>
      <c r="G223" s="226">
        <f t="shared" si="15"/>
        <v>0</v>
      </c>
    </row>
    <row r="224" spans="1:7" ht="24.95" customHeight="1">
      <c r="A224" s="161" t="s">
        <v>106</v>
      </c>
      <c r="B224" s="365" t="s">
        <v>105</v>
      </c>
      <c r="C224" s="366"/>
      <c r="D224" s="117" t="s">
        <v>8</v>
      </c>
      <c r="E224" s="225">
        <v>8</v>
      </c>
      <c r="F224" s="167"/>
      <c r="G224" s="226">
        <f t="shared" si="15"/>
        <v>0</v>
      </c>
    </row>
    <row r="225" spans="1:7" ht="24.95" customHeight="1">
      <c r="A225" s="42" t="s">
        <v>17</v>
      </c>
      <c r="B225" s="315" t="s">
        <v>218</v>
      </c>
      <c r="C225" s="315"/>
      <c r="D225" s="80" t="s">
        <v>8</v>
      </c>
      <c r="E225" s="43">
        <v>2</v>
      </c>
      <c r="F225" s="165"/>
      <c r="G225" s="229">
        <f t="shared" si="15"/>
        <v>0</v>
      </c>
    </row>
    <row r="226" spans="1:7" ht="24.95" customHeight="1">
      <c r="A226" s="42" t="s">
        <v>106</v>
      </c>
      <c r="B226" s="315" t="s">
        <v>219</v>
      </c>
      <c r="C226" s="315"/>
      <c r="D226" s="80" t="s">
        <v>8</v>
      </c>
      <c r="E226" s="80">
        <v>8</v>
      </c>
      <c r="F226" s="165"/>
      <c r="G226" s="229">
        <f t="shared" si="15"/>
        <v>0</v>
      </c>
    </row>
    <row r="227" spans="1:7" ht="24.95" customHeight="1">
      <c r="A227" s="162" t="s">
        <v>17</v>
      </c>
      <c r="B227" s="365" t="s">
        <v>222</v>
      </c>
      <c r="C227" s="365"/>
      <c r="D227" s="121" t="s">
        <v>8</v>
      </c>
      <c r="E227" s="225">
        <v>2</v>
      </c>
      <c r="F227" s="166"/>
      <c r="G227" s="226">
        <f t="shared" si="15"/>
        <v>0</v>
      </c>
    </row>
    <row r="228" spans="1:7" ht="24.95" customHeight="1">
      <c r="A228" s="161" t="s">
        <v>106</v>
      </c>
      <c r="B228" s="365" t="s">
        <v>223</v>
      </c>
      <c r="C228" s="366"/>
      <c r="D228" s="117" t="s">
        <v>8</v>
      </c>
      <c r="E228" s="225">
        <v>2</v>
      </c>
      <c r="F228" s="167"/>
      <c r="G228" s="226">
        <f t="shared" si="15"/>
        <v>0</v>
      </c>
    </row>
    <row r="229" spans="1:103" s="82" customFormat="1" ht="24.95" customHeight="1">
      <c r="A229" s="42" t="s">
        <v>16</v>
      </c>
      <c r="B229" s="363" t="s">
        <v>220</v>
      </c>
      <c r="C229" s="364"/>
      <c r="D229" s="80" t="s">
        <v>8</v>
      </c>
      <c r="E229" s="80">
        <f>SUM(E227,E225,E223,E221,E219,E217)</f>
        <v>18</v>
      </c>
      <c r="F229" s="230"/>
      <c r="G229" s="124">
        <f t="shared" si="15"/>
        <v>0</v>
      </c>
      <c r="H229" s="98"/>
      <c r="I229" s="98"/>
      <c r="J229" s="98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</row>
    <row r="230" spans="1:103" s="82" customFormat="1" ht="24.95" customHeight="1">
      <c r="A230" s="42" t="s">
        <v>16</v>
      </c>
      <c r="B230" s="234" t="s">
        <v>221</v>
      </c>
      <c r="C230" s="235"/>
      <c r="D230" s="80" t="s">
        <v>58</v>
      </c>
      <c r="E230" s="80">
        <v>1</v>
      </c>
      <c r="F230" s="230"/>
      <c r="G230" s="124">
        <f t="shared" si="15"/>
        <v>0</v>
      </c>
      <c r="H230" s="98"/>
      <c r="I230" s="98"/>
      <c r="J230" s="98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</row>
    <row r="231" spans="1:7" ht="33" customHeight="1">
      <c r="A231" s="168"/>
      <c r="B231" s="368" t="s">
        <v>108</v>
      </c>
      <c r="C231" s="368"/>
      <c r="D231" s="169"/>
      <c r="E231" s="169"/>
      <c r="F231" s="170"/>
      <c r="G231" s="231">
        <f>SUM(G217:G230)</f>
        <v>0</v>
      </c>
    </row>
    <row r="232" spans="1:7" ht="24.95" customHeight="1">
      <c r="A232" s="9"/>
      <c r="B232" s="255"/>
      <c r="C232" s="256"/>
      <c r="D232" s="15"/>
      <c r="E232" s="6"/>
      <c r="F232" s="7"/>
      <c r="G232" s="76"/>
    </row>
    <row r="233" spans="1:7" ht="24.95" customHeight="1">
      <c r="A233" s="369"/>
      <c r="B233" s="369"/>
      <c r="C233" s="369"/>
      <c r="D233" s="369"/>
      <c r="E233" s="369"/>
      <c r="F233" s="369"/>
      <c r="G233" s="369"/>
    </row>
  </sheetData>
  <sheetProtection selectLockedCells="1" selectUnlockedCells="1"/>
  <mergeCells count="202">
    <mergeCell ref="B229:C229"/>
    <mergeCell ref="B231:C231"/>
    <mergeCell ref="A233:G233"/>
    <mergeCell ref="B223:C223"/>
    <mergeCell ref="B224:C224"/>
    <mergeCell ref="B225:C225"/>
    <mergeCell ref="B226:C226"/>
    <mergeCell ref="B227:C227"/>
    <mergeCell ref="B228:C228"/>
    <mergeCell ref="B218:C218"/>
    <mergeCell ref="B219:C219"/>
    <mergeCell ref="B220:C220"/>
    <mergeCell ref="B221:C221"/>
    <mergeCell ref="B222:C222"/>
    <mergeCell ref="B214:G214"/>
    <mergeCell ref="A215:A216"/>
    <mergeCell ref="B215:C216"/>
    <mergeCell ref="D215:D216"/>
    <mergeCell ref="E215:E216"/>
    <mergeCell ref="F215:F216"/>
    <mergeCell ref="G215:G216"/>
    <mergeCell ref="B208:C208"/>
    <mergeCell ref="B213:F213"/>
    <mergeCell ref="B202:C202"/>
    <mergeCell ref="B203:C203"/>
    <mergeCell ref="B204:C204"/>
    <mergeCell ref="B205:C205"/>
    <mergeCell ref="B206:C206"/>
    <mergeCell ref="B207:C207"/>
    <mergeCell ref="B217:C217"/>
    <mergeCell ref="B209:G209"/>
    <mergeCell ref="B210:C210"/>
    <mergeCell ref="B211:C211"/>
    <mergeCell ref="B212:C212"/>
    <mergeCell ref="G195:G196"/>
    <mergeCell ref="B197:G197"/>
    <mergeCell ref="B198:C198"/>
    <mergeCell ref="B199:C199"/>
    <mergeCell ref="B200:C200"/>
    <mergeCell ref="B201:C201"/>
    <mergeCell ref="B194:C194"/>
    <mergeCell ref="A195:A196"/>
    <mergeCell ref="B195:C196"/>
    <mergeCell ref="D195:D196"/>
    <mergeCell ref="E195:E196"/>
    <mergeCell ref="F195:F196"/>
    <mergeCell ref="B188:C188"/>
    <mergeCell ref="B189:C189"/>
    <mergeCell ref="B190:C190"/>
    <mergeCell ref="B191:G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G170"/>
    <mergeCell ref="B171:C171"/>
    <mergeCell ref="B172:C172"/>
    <mergeCell ref="B173:C173"/>
    <mergeCell ref="B174:C174"/>
    <mergeCell ref="B175:C175"/>
    <mergeCell ref="B166:F166"/>
    <mergeCell ref="B167:G167"/>
    <mergeCell ref="A168:A169"/>
    <mergeCell ref="B168:C169"/>
    <mergeCell ref="D168:D169"/>
    <mergeCell ref="E168:E169"/>
    <mergeCell ref="F168:F169"/>
    <mergeCell ref="G168:G169"/>
    <mergeCell ref="B160:G160"/>
    <mergeCell ref="B161:C161"/>
    <mergeCell ref="B162:C162"/>
    <mergeCell ref="B163:C163"/>
    <mergeCell ref="B164:C164"/>
    <mergeCell ref="B165:C165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G151"/>
    <mergeCell ref="B152:C152"/>
    <mergeCell ref="B153:C153"/>
    <mergeCell ref="B146:C146"/>
    <mergeCell ref="B147:C147"/>
    <mergeCell ref="A142:A143"/>
    <mergeCell ref="B142:C143"/>
    <mergeCell ref="D142:D143"/>
    <mergeCell ref="E142:E143"/>
    <mergeCell ref="F142:F143"/>
    <mergeCell ref="G142:G143"/>
    <mergeCell ref="B154:C154"/>
    <mergeCell ref="B135:C135"/>
    <mergeCell ref="B136:C136"/>
    <mergeCell ref="B137:C137"/>
    <mergeCell ref="B138:C138"/>
    <mergeCell ref="B140:F140"/>
    <mergeCell ref="B141:G141"/>
    <mergeCell ref="B134:C134"/>
    <mergeCell ref="B144:G144"/>
    <mergeCell ref="B145:C145"/>
    <mergeCell ref="B128:C128"/>
    <mergeCell ref="B129:C129"/>
    <mergeCell ref="B130:C130"/>
    <mergeCell ref="B122:C122"/>
    <mergeCell ref="B123:C123"/>
    <mergeCell ref="B124:C124"/>
    <mergeCell ref="B125:C125"/>
    <mergeCell ref="B126:C126"/>
    <mergeCell ref="B127:C127"/>
    <mergeCell ref="B119:G119"/>
    <mergeCell ref="B120:C120"/>
    <mergeCell ref="B121:C121"/>
    <mergeCell ref="B118:C118"/>
    <mergeCell ref="B112:C112"/>
    <mergeCell ref="B113:C113"/>
    <mergeCell ref="B114:C114"/>
    <mergeCell ref="B115:C115"/>
    <mergeCell ref="B116:C116"/>
    <mergeCell ref="B117:C117"/>
    <mergeCell ref="D108:D109"/>
    <mergeCell ref="E108:E109"/>
    <mergeCell ref="F108:F109"/>
    <mergeCell ref="G108:G109"/>
    <mergeCell ref="B110:G110"/>
    <mergeCell ref="B111:C111"/>
    <mergeCell ref="B103:C103"/>
    <mergeCell ref="B104:C104"/>
    <mergeCell ref="B105:C105"/>
    <mergeCell ref="B106:C106"/>
    <mergeCell ref="B107:C107"/>
    <mergeCell ref="A108:A109"/>
    <mergeCell ref="B108:C109"/>
    <mergeCell ref="B100:C100"/>
    <mergeCell ref="B101:C101"/>
    <mergeCell ref="B102:C102"/>
    <mergeCell ref="B96:C96"/>
    <mergeCell ref="B97:C97"/>
    <mergeCell ref="B98:C98"/>
    <mergeCell ref="B99:C99"/>
    <mergeCell ref="B90:C90"/>
    <mergeCell ref="B91:C91"/>
    <mergeCell ref="B92:C92"/>
    <mergeCell ref="B93:C93"/>
    <mergeCell ref="B94:G94"/>
    <mergeCell ref="B95:C95"/>
    <mergeCell ref="B84:G84"/>
    <mergeCell ref="B85:C85"/>
    <mergeCell ref="B86:C86"/>
    <mergeCell ref="B87:C87"/>
    <mergeCell ref="B88:C88"/>
    <mergeCell ref="B89:C89"/>
    <mergeCell ref="B26:E26"/>
    <mergeCell ref="B35:E35"/>
    <mergeCell ref="B37:E37"/>
    <mergeCell ref="B39:E39"/>
    <mergeCell ref="B41:E41"/>
    <mergeCell ref="B68:G68"/>
    <mergeCell ref="B78:C78"/>
    <mergeCell ref="B59:G59"/>
    <mergeCell ref="B67:C67"/>
    <mergeCell ref="B57:B58"/>
    <mergeCell ref="C57:C58"/>
    <mergeCell ref="D57:D58"/>
    <mergeCell ref="F57:F58"/>
    <mergeCell ref="G57:G58"/>
    <mergeCell ref="A131:A132"/>
    <mergeCell ref="B131:C132"/>
    <mergeCell ref="D131:D132"/>
    <mergeCell ref="E131:E132"/>
    <mergeCell ref="F131:F132"/>
    <mergeCell ref="G131:G132"/>
    <mergeCell ref="B133:F133"/>
    <mergeCell ref="B139:C139"/>
    <mergeCell ref="B43:E43"/>
    <mergeCell ref="B45:E45"/>
    <mergeCell ref="B47:E47"/>
    <mergeCell ref="B49:E49"/>
    <mergeCell ref="B51:E51"/>
    <mergeCell ref="B56:G56"/>
    <mergeCell ref="A57:A58"/>
    <mergeCell ref="B81:G81"/>
    <mergeCell ref="A82:A83"/>
    <mergeCell ref="B82:C83"/>
    <mergeCell ref="D82:D83"/>
    <mergeCell ref="E82:E83"/>
    <mergeCell ref="F82:F83"/>
    <mergeCell ref="G82:G83"/>
    <mergeCell ref="B79:C79"/>
    <mergeCell ref="B80:F80"/>
  </mergeCells>
  <printOptions/>
  <pageMargins left="0.3937007874015748" right="0.31496062992125984" top="0.3937007874015748" bottom="0.3937007874015748" header="0.5118110236220472" footer="0.5118110236220472"/>
  <pageSetup fitToHeight="0" fitToWidth="1" horizontalDpi="300" verticalDpi="300" orientation="landscape" paperSize="9" scale="74" r:id="rId1"/>
  <rowBreaks count="9" manualBreakCount="9">
    <brk id="29" max="16383" man="1"/>
    <brk id="55" max="16383" man="1"/>
    <brk id="80" max="16383" man="1"/>
    <brk id="107" max="16383" man="1"/>
    <brk id="130" max="16383" man="1"/>
    <brk id="140" max="16383" man="1"/>
    <brk id="166" max="16383" man="1"/>
    <brk id="194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paja</cp:lastModifiedBy>
  <cp:lastPrinted>2021-03-09T07:24:27Z</cp:lastPrinted>
  <dcterms:created xsi:type="dcterms:W3CDTF">2014-02-15T18:10:23Z</dcterms:created>
  <dcterms:modified xsi:type="dcterms:W3CDTF">2021-03-09T07:25:23Z</dcterms:modified>
  <cp:category/>
  <cp:version/>
  <cp:contentType/>
  <cp:contentStatus/>
</cp:coreProperties>
</file>